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B229" i="1"/>
  <c r="B228"/>
  <c r="B253"/>
  <c r="B252"/>
  <c r="C242"/>
  <c r="C241"/>
  <c r="C240"/>
  <c r="C239"/>
  <c r="C238"/>
  <c r="C237"/>
  <c r="C236"/>
  <c r="C235"/>
  <c r="C234"/>
  <c r="D233"/>
  <c r="C233"/>
  <c r="C243" s="1"/>
  <c r="A233"/>
  <c r="A234" s="1"/>
  <c r="A235" s="1"/>
  <c r="A236" s="1"/>
  <c r="A237" s="1"/>
  <c r="A238" s="1"/>
  <c r="A239" s="1"/>
  <c r="A240" s="1"/>
  <c r="A241" s="1"/>
  <c r="A242" s="1"/>
  <c r="D217"/>
  <c r="D222" s="1"/>
  <c r="F213"/>
  <c r="F212"/>
  <c r="F211"/>
  <c r="F210"/>
  <c r="F209"/>
  <c r="F208"/>
  <c r="F207"/>
  <c r="F206"/>
  <c r="F205"/>
  <c r="A205"/>
  <c r="A206" s="1"/>
  <c r="A207" s="1"/>
  <c r="A208" s="1"/>
  <c r="A209" s="1"/>
  <c r="A210" s="1"/>
  <c r="A211" s="1"/>
  <c r="A212" s="1"/>
  <c r="A213" s="1"/>
  <c r="F204"/>
  <c r="A204"/>
  <c r="F203"/>
  <c r="C197"/>
  <c r="C196"/>
  <c r="C195"/>
  <c r="C194"/>
  <c r="C193"/>
  <c r="C192"/>
  <c r="C191"/>
  <c r="C190"/>
  <c r="C189"/>
  <c r="C188"/>
  <c r="A188"/>
  <c r="A189" s="1"/>
  <c r="A190" s="1"/>
  <c r="A191" s="1"/>
  <c r="A192" s="1"/>
  <c r="A193" s="1"/>
  <c r="A194" s="1"/>
  <c r="A195" s="1"/>
  <c r="A196" s="1"/>
  <c r="A197" s="1"/>
  <c r="C187"/>
  <c r="A168"/>
  <c r="A169" s="1"/>
  <c r="A170" s="1"/>
  <c r="A171" s="1"/>
  <c r="A172" s="1"/>
  <c r="A173" s="1"/>
  <c r="A174" s="1"/>
  <c r="A175" s="1"/>
  <c r="A176" s="1"/>
  <c r="A167"/>
  <c r="A153"/>
  <c r="A154" s="1"/>
  <c r="A155" s="1"/>
  <c r="A156" s="1"/>
  <c r="A157" s="1"/>
  <c r="A158" s="1"/>
  <c r="A159" s="1"/>
  <c r="A160" s="1"/>
  <c r="A161" s="1"/>
  <c r="A162" s="1"/>
  <c r="A137"/>
  <c r="A138" s="1"/>
  <c r="A139" s="1"/>
  <c r="A140" s="1"/>
  <c r="A141" s="1"/>
  <c r="A142" s="1"/>
  <c r="A143" s="1"/>
  <c r="A144" s="1"/>
  <c r="A145" s="1"/>
  <c r="A136"/>
  <c r="A121"/>
  <c r="A122" s="1"/>
  <c r="A123" s="1"/>
  <c r="A124" s="1"/>
  <c r="A125" s="1"/>
  <c r="A126" s="1"/>
  <c r="A127" s="1"/>
  <c r="A128" s="1"/>
  <c r="A129" s="1"/>
  <c r="A130" s="1"/>
  <c r="A107"/>
  <c r="A108" s="1"/>
  <c r="A109" s="1"/>
  <c r="A110" s="1"/>
  <c r="A111" s="1"/>
  <c r="A112" s="1"/>
  <c r="A113" s="1"/>
  <c r="A114" s="1"/>
  <c r="A115" s="1"/>
  <c r="A106"/>
  <c r="A91"/>
  <c r="A92" s="1"/>
  <c r="A93" s="1"/>
  <c r="A94" s="1"/>
  <c r="A95" s="1"/>
  <c r="A96" s="1"/>
  <c r="A97" s="1"/>
  <c r="A98" s="1"/>
  <c r="A99" s="1"/>
  <c r="A100" s="1"/>
  <c r="A70"/>
  <c r="A71" s="1"/>
  <c r="A72" s="1"/>
  <c r="A73" s="1"/>
  <c r="A74" s="1"/>
  <c r="A75" s="1"/>
  <c r="A76" s="1"/>
  <c r="A77" s="1"/>
  <c r="A78" s="1"/>
  <c r="A69"/>
  <c r="A55"/>
  <c r="A56" s="1"/>
  <c r="A57" s="1"/>
  <c r="A58" s="1"/>
  <c r="A59" s="1"/>
  <c r="A60" s="1"/>
  <c r="A61" s="1"/>
  <c r="A62" s="1"/>
  <c r="A63" s="1"/>
  <c r="A54"/>
  <c r="A37"/>
  <c r="A38" s="1"/>
  <c r="A39" s="1"/>
  <c r="A40" s="1"/>
  <c r="A41" s="1"/>
  <c r="A42" s="1"/>
  <c r="A43" s="1"/>
  <c r="A44" s="1"/>
  <c r="A45" s="1"/>
  <c r="A46" s="1"/>
  <c r="C29"/>
  <c r="D28"/>
  <c r="D196" s="1"/>
  <c r="C28"/>
  <c r="E27"/>
  <c r="E195" s="1"/>
  <c r="D27"/>
  <c r="D195" s="1"/>
  <c r="C27"/>
  <c r="F26"/>
  <c r="F194" s="1"/>
  <c r="E26"/>
  <c r="E194" s="1"/>
  <c r="D26"/>
  <c r="D194" s="1"/>
  <c r="C26"/>
  <c r="G25"/>
  <c r="G193" s="1"/>
  <c r="F25"/>
  <c r="F193" s="1"/>
  <c r="E25"/>
  <c r="E193" s="1"/>
  <c r="D25"/>
  <c r="D193" s="1"/>
  <c r="C25"/>
  <c r="H24"/>
  <c r="H192" s="1"/>
  <c r="G24"/>
  <c r="G192" s="1"/>
  <c r="F24"/>
  <c r="F192" s="1"/>
  <c r="E24"/>
  <c r="E192" s="1"/>
  <c r="D24"/>
  <c r="D192" s="1"/>
  <c r="C24"/>
  <c r="I23"/>
  <c r="I191" s="1"/>
  <c r="H23"/>
  <c r="H191" s="1"/>
  <c r="G23"/>
  <c r="G191" s="1"/>
  <c r="F23"/>
  <c r="F191" s="1"/>
  <c r="E23"/>
  <c r="E191" s="1"/>
  <c r="D23"/>
  <c r="D191" s="1"/>
  <c r="C23"/>
  <c r="J22"/>
  <c r="J190" s="1"/>
  <c r="I22"/>
  <c r="I190" s="1"/>
  <c r="H22"/>
  <c r="H190" s="1"/>
  <c r="G22"/>
  <c r="G190" s="1"/>
  <c r="F22"/>
  <c r="F190" s="1"/>
  <c r="E22"/>
  <c r="E190" s="1"/>
  <c r="D22"/>
  <c r="D190" s="1"/>
  <c r="C22"/>
  <c r="K21"/>
  <c r="K189" s="1"/>
  <c r="J21"/>
  <c r="J189" s="1"/>
  <c r="I21"/>
  <c r="I189" s="1"/>
  <c r="H21"/>
  <c r="H189" s="1"/>
  <c r="G21"/>
  <c r="G189" s="1"/>
  <c r="F21"/>
  <c r="F189" s="1"/>
  <c r="E21"/>
  <c r="E189" s="1"/>
  <c r="D21"/>
  <c r="D189" s="1"/>
  <c r="C21"/>
  <c r="A21"/>
  <c r="A22" s="1"/>
  <c r="A23" s="1"/>
  <c r="A24" s="1"/>
  <c r="A25" s="1"/>
  <c r="A26" s="1"/>
  <c r="A27" s="1"/>
  <c r="A28" s="1"/>
  <c r="A29" s="1"/>
  <c r="L20"/>
  <c r="L188" s="1"/>
  <c r="K20"/>
  <c r="K188" s="1"/>
  <c r="J20"/>
  <c r="J188" s="1"/>
  <c r="I20"/>
  <c r="I188" s="1"/>
  <c r="H20"/>
  <c r="H188" s="1"/>
  <c r="G20"/>
  <c r="G188" s="1"/>
  <c r="F20"/>
  <c r="F188" s="1"/>
  <c r="E20"/>
  <c r="E188" s="1"/>
  <c r="D20"/>
  <c r="D188" s="1"/>
  <c r="C20"/>
  <c r="A20"/>
  <c r="M19"/>
  <c r="M187" s="1"/>
  <c r="L19"/>
  <c r="L187" s="1"/>
  <c r="K19"/>
  <c r="K187" s="1"/>
  <c r="J19"/>
  <c r="J187" s="1"/>
  <c r="I19"/>
  <c r="I187" s="1"/>
  <c r="H19"/>
  <c r="H187" s="1"/>
  <c r="G19"/>
  <c r="G187" s="1"/>
  <c r="F19"/>
  <c r="F187" s="1"/>
  <c r="E19"/>
  <c r="E187" s="1"/>
  <c r="D19"/>
  <c r="D187" s="1"/>
  <c r="C19"/>
  <c r="C31" s="1"/>
  <c r="O14"/>
  <c r="O13"/>
  <c r="O12"/>
  <c r="N12"/>
  <c r="O11"/>
  <c r="N11"/>
  <c r="O10"/>
  <c r="N10"/>
  <c r="O9"/>
  <c r="N9"/>
  <c r="O8"/>
  <c r="N8"/>
  <c r="O7"/>
  <c r="O6" s="1"/>
  <c r="O5" s="1"/>
  <c r="O4" s="1"/>
  <c r="N7"/>
  <c r="N6"/>
  <c r="N5"/>
  <c r="A5"/>
  <c r="A6" s="1"/>
  <c r="A7" s="1"/>
  <c r="A8" s="1"/>
  <c r="A9" s="1"/>
  <c r="A10" s="1"/>
  <c r="A11" s="1"/>
  <c r="A12" s="1"/>
  <c r="A13" s="1"/>
  <c r="A14" s="1"/>
  <c r="N4"/>
  <c r="J232" s="1"/>
  <c r="C38" l="1"/>
  <c r="C41"/>
  <c r="C45"/>
  <c r="C77"/>
  <c r="C75"/>
  <c r="C73"/>
  <c r="C71"/>
  <c r="C69"/>
  <c r="C68"/>
  <c r="C78"/>
  <c r="C76"/>
  <c r="C74"/>
  <c r="C72"/>
  <c r="C70"/>
  <c r="C46"/>
  <c r="C43"/>
  <c r="C42"/>
  <c r="C37"/>
  <c r="C39"/>
  <c r="C40"/>
  <c r="C44"/>
  <c r="D31"/>
  <c r="F31"/>
  <c r="H31"/>
  <c r="J31"/>
  <c r="L31"/>
  <c r="C36"/>
  <c r="D38"/>
  <c r="F38"/>
  <c r="H38"/>
  <c r="J38"/>
  <c r="D39"/>
  <c r="F39"/>
  <c r="H39"/>
  <c r="J39"/>
  <c r="D42"/>
  <c r="F42"/>
  <c r="D43"/>
  <c r="F43"/>
  <c r="K232"/>
  <c r="E31"/>
  <c r="G31"/>
  <c r="G36" s="1"/>
  <c r="I31"/>
  <c r="K31"/>
  <c r="K36" s="1"/>
  <c r="M31"/>
  <c r="D36"/>
  <c r="F36"/>
  <c r="H36"/>
  <c r="J36"/>
  <c r="L36"/>
  <c r="D37"/>
  <c r="F37"/>
  <c r="H37"/>
  <c r="J37"/>
  <c r="L37"/>
  <c r="E38"/>
  <c r="G38"/>
  <c r="I38"/>
  <c r="K38"/>
  <c r="E39"/>
  <c r="G39"/>
  <c r="I39"/>
  <c r="D40"/>
  <c r="F40"/>
  <c r="O187"/>
  <c r="I233"/>
  <c r="D234"/>
  <c r="D235"/>
  <c r="D236"/>
  <c r="D237"/>
  <c r="D238"/>
  <c r="D239"/>
  <c r="D240"/>
  <c r="D241"/>
  <c r="D242"/>
  <c r="T243"/>
  <c r="V243"/>
  <c r="X233"/>
  <c r="Y234"/>
  <c r="Y235"/>
  <c r="Y236"/>
  <c r="Y237"/>
  <c r="Y238"/>
  <c r="Y239"/>
  <c r="Y240"/>
  <c r="Y241"/>
  <c r="Y242"/>
  <c r="U243"/>
  <c r="I242" l="1"/>
  <c r="X242"/>
  <c r="I240"/>
  <c r="X240"/>
  <c r="I238"/>
  <c r="X238"/>
  <c r="I236"/>
  <c r="X236"/>
  <c r="I234"/>
  <c r="X234"/>
  <c r="J53"/>
  <c r="J48"/>
  <c r="M197"/>
  <c r="M196"/>
  <c r="M195"/>
  <c r="M194"/>
  <c r="M193"/>
  <c r="M192"/>
  <c r="M191"/>
  <c r="M190"/>
  <c r="M189"/>
  <c r="M188"/>
  <c r="M77"/>
  <c r="M75"/>
  <c r="M73"/>
  <c r="M71"/>
  <c r="M69"/>
  <c r="N69" s="1"/>
  <c r="M68"/>
  <c r="M90" s="1"/>
  <c r="M78"/>
  <c r="M76"/>
  <c r="M74"/>
  <c r="M72"/>
  <c r="M70"/>
  <c r="I197"/>
  <c r="I196"/>
  <c r="I195"/>
  <c r="I194"/>
  <c r="I193"/>
  <c r="I192"/>
  <c r="I77"/>
  <c r="I75"/>
  <c r="I73"/>
  <c r="I71"/>
  <c r="I69"/>
  <c r="I68"/>
  <c r="I78"/>
  <c r="I76"/>
  <c r="I74"/>
  <c r="I72"/>
  <c r="I70"/>
  <c r="E197"/>
  <c r="E196"/>
  <c r="E77"/>
  <c r="E75"/>
  <c r="E73"/>
  <c r="E71"/>
  <c r="E69"/>
  <c r="E68"/>
  <c r="E78"/>
  <c r="E76"/>
  <c r="E74"/>
  <c r="E72"/>
  <c r="E70"/>
  <c r="E43"/>
  <c r="E42"/>
  <c r="C48"/>
  <c r="C53" s="1"/>
  <c r="J197"/>
  <c r="J196"/>
  <c r="J195"/>
  <c r="J194"/>
  <c r="J193"/>
  <c r="J192"/>
  <c r="J191"/>
  <c r="J78"/>
  <c r="J76"/>
  <c r="J74"/>
  <c r="J72"/>
  <c r="J70"/>
  <c r="J77"/>
  <c r="J75"/>
  <c r="J73"/>
  <c r="J71"/>
  <c r="J69"/>
  <c r="J68"/>
  <c r="F197"/>
  <c r="F196"/>
  <c r="F195"/>
  <c r="F78"/>
  <c r="F76"/>
  <c r="F74"/>
  <c r="F72"/>
  <c r="F70"/>
  <c r="F77"/>
  <c r="F75"/>
  <c r="F73"/>
  <c r="F71"/>
  <c r="F69"/>
  <c r="F68"/>
  <c r="F41"/>
  <c r="C109"/>
  <c r="C94"/>
  <c r="C113"/>
  <c r="C98"/>
  <c r="C105"/>
  <c r="C90"/>
  <c r="C93"/>
  <c r="C108" s="1"/>
  <c r="C97"/>
  <c r="C112" s="1"/>
  <c r="G41"/>
  <c r="I40"/>
  <c r="E40"/>
  <c r="I37"/>
  <c r="E37"/>
  <c r="C61"/>
  <c r="C56"/>
  <c r="C59"/>
  <c r="C63"/>
  <c r="C62"/>
  <c r="C55"/>
  <c r="I241"/>
  <c r="X241"/>
  <c r="I239"/>
  <c r="X239"/>
  <c r="I237"/>
  <c r="X237"/>
  <c r="I235"/>
  <c r="X235"/>
  <c r="E232"/>
  <c r="D203"/>
  <c r="G203" s="1"/>
  <c r="L48"/>
  <c r="L54" s="1"/>
  <c r="K197"/>
  <c r="K196"/>
  <c r="K195"/>
  <c r="K194"/>
  <c r="K193"/>
  <c r="K192"/>
  <c r="K191"/>
  <c r="K190"/>
  <c r="K77"/>
  <c r="K75"/>
  <c r="K73"/>
  <c r="K71"/>
  <c r="N71" s="1"/>
  <c r="J235" s="1"/>
  <c r="K235" s="1"/>
  <c r="L235" s="1"/>
  <c r="K69"/>
  <c r="K68"/>
  <c r="K78"/>
  <c r="K76"/>
  <c r="K74"/>
  <c r="K72"/>
  <c r="K70"/>
  <c r="G197"/>
  <c r="G196"/>
  <c r="G195"/>
  <c r="G194"/>
  <c r="G77"/>
  <c r="G75"/>
  <c r="G73"/>
  <c r="G71"/>
  <c r="G69"/>
  <c r="G68"/>
  <c r="G78"/>
  <c r="G76"/>
  <c r="G74"/>
  <c r="G72"/>
  <c r="G70"/>
  <c r="G42"/>
  <c r="L232"/>
  <c r="L197"/>
  <c r="L196"/>
  <c r="L195"/>
  <c r="L194"/>
  <c r="L193"/>
  <c r="L192"/>
  <c r="L191"/>
  <c r="L190"/>
  <c r="L189"/>
  <c r="L78"/>
  <c r="L76"/>
  <c r="L74"/>
  <c r="L72"/>
  <c r="L70"/>
  <c r="N70" s="1"/>
  <c r="J234" s="1"/>
  <c r="K234" s="1"/>
  <c r="L234" s="1"/>
  <c r="L77"/>
  <c r="L75"/>
  <c r="L73"/>
  <c r="L71"/>
  <c r="L69"/>
  <c r="L68"/>
  <c r="H197"/>
  <c r="H196"/>
  <c r="H195"/>
  <c r="H194"/>
  <c r="H193"/>
  <c r="H78"/>
  <c r="H76"/>
  <c r="H74"/>
  <c r="N74" s="1"/>
  <c r="J238" s="1"/>
  <c r="K238" s="1"/>
  <c r="L238" s="1"/>
  <c r="H72"/>
  <c r="H70"/>
  <c r="H77"/>
  <c r="H75"/>
  <c r="H73"/>
  <c r="H71"/>
  <c r="H69"/>
  <c r="H68"/>
  <c r="H41"/>
  <c r="H40"/>
  <c r="D197"/>
  <c r="D78"/>
  <c r="D76"/>
  <c r="D74"/>
  <c r="D72"/>
  <c r="D70"/>
  <c r="D77"/>
  <c r="D75"/>
  <c r="D73"/>
  <c r="D71"/>
  <c r="D69"/>
  <c r="D68"/>
  <c r="D45"/>
  <c r="D44"/>
  <c r="D41"/>
  <c r="C92"/>
  <c r="C107"/>
  <c r="C96"/>
  <c r="C111"/>
  <c r="C100"/>
  <c r="C115"/>
  <c r="C91"/>
  <c r="C106" s="1"/>
  <c r="C95"/>
  <c r="C110" s="1"/>
  <c r="C99"/>
  <c r="C114" s="1"/>
  <c r="W243"/>
  <c r="D243"/>
  <c r="J54"/>
  <c r="E44"/>
  <c r="E41"/>
  <c r="G40"/>
  <c r="J56"/>
  <c r="J55"/>
  <c r="K37"/>
  <c r="G37"/>
  <c r="M36"/>
  <c r="I36"/>
  <c r="E36"/>
  <c r="C57"/>
  <c r="C54"/>
  <c r="C60"/>
  <c r="C58"/>
  <c r="X243" l="1"/>
  <c r="C123"/>
  <c r="C155"/>
  <c r="C169" s="1"/>
  <c r="C138"/>
  <c r="C161"/>
  <c r="C175" s="1"/>
  <c r="C144"/>
  <c r="C129"/>
  <c r="C153"/>
  <c r="C167" s="1"/>
  <c r="C136"/>
  <c r="C121"/>
  <c r="C159"/>
  <c r="C173" s="1"/>
  <c r="C127"/>
  <c r="C142"/>
  <c r="C157"/>
  <c r="C171" s="1"/>
  <c r="C140"/>
  <c r="C125"/>
  <c r="B264"/>
  <c r="Y243"/>
  <c r="C162"/>
  <c r="C176" s="1"/>
  <c r="C130"/>
  <c r="C145"/>
  <c r="C158"/>
  <c r="C172" s="1"/>
  <c r="C126"/>
  <c r="C141"/>
  <c r="D91"/>
  <c r="D106" s="1"/>
  <c r="D99"/>
  <c r="D114" s="1"/>
  <c r="N197"/>
  <c r="B213" s="1"/>
  <c r="E53"/>
  <c r="E48"/>
  <c r="D105"/>
  <c r="D90"/>
  <c r="D108"/>
  <c r="D93"/>
  <c r="D112"/>
  <c r="D97"/>
  <c r="D107"/>
  <c r="D92"/>
  <c r="D111"/>
  <c r="D96"/>
  <c r="H105"/>
  <c r="H90"/>
  <c r="H108"/>
  <c r="H93"/>
  <c r="H107"/>
  <c r="H92"/>
  <c r="L105"/>
  <c r="L90"/>
  <c r="G109"/>
  <c r="G94"/>
  <c r="G105"/>
  <c r="G90"/>
  <c r="G93"/>
  <c r="G108" s="1"/>
  <c r="N194"/>
  <c r="B210" s="1"/>
  <c r="O194"/>
  <c r="K92"/>
  <c r="K107" s="1"/>
  <c r="K106"/>
  <c r="K91"/>
  <c r="F232"/>
  <c r="G232"/>
  <c r="H232" s="1"/>
  <c r="F91"/>
  <c r="F106"/>
  <c r="F95"/>
  <c r="F110"/>
  <c r="F94"/>
  <c r="F109"/>
  <c r="N195"/>
  <c r="B211" s="1"/>
  <c r="O195"/>
  <c r="J91"/>
  <c r="J106" s="1"/>
  <c r="N191"/>
  <c r="B207" s="1"/>
  <c r="O191"/>
  <c r="E94"/>
  <c r="E109" s="1"/>
  <c r="E98"/>
  <c r="E113" s="1"/>
  <c r="E90"/>
  <c r="E105" s="1"/>
  <c r="E93"/>
  <c r="E108"/>
  <c r="E97"/>
  <c r="E112"/>
  <c r="N196"/>
  <c r="B212" s="1"/>
  <c r="O196"/>
  <c r="I92"/>
  <c r="I107" s="1"/>
  <c r="I91"/>
  <c r="I106" s="1"/>
  <c r="N188"/>
  <c r="B204" s="1"/>
  <c r="O188"/>
  <c r="E61"/>
  <c r="E58"/>
  <c r="N78"/>
  <c r="J242" s="1"/>
  <c r="K242" s="1"/>
  <c r="L242" s="1"/>
  <c r="N75"/>
  <c r="J239" s="1"/>
  <c r="K239" s="1"/>
  <c r="L239" s="1"/>
  <c r="L53"/>
  <c r="N76"/>
  <c r="J240" s="1"/>
  <c r="K240" s="1"/>
  <c r="L240" s="1"/>
  <c r="N72"/>
  <c r="J236" s="1"/>
  <c r="K236" s="1"/>
  <c r="L236" s="1"/>
  <c r="E60"/>
  <c r="N73"/>
  <c r="J237" s="1"/>
  <c r="K237" s="1"/>
  <c r="L237" s="1"/>
  <c r="F48"/>
  <c r="I48"/>
  <c r="C154"/>
  <c r="C168" s="1"/>
  <c r="C122"/>
  <c r="C137"/>
  <c r="D95"/>
  <c r="D110" s="1"/>
  <c r="D94"/>
  <c r="D109" s="1"/>
  <c r="D98"/>
  <c r="D113" s="1"/>
  <c r="H91"/>
  <c r="H106" s="1"/>
  <c r="H95"/>
  <c r="H110" s="1"/>
  <c r="H94"/>
  <c r="H109" s="1"/>
  <c r="N193"/>
  <c r="B209" s="1"/>
  <c r="O193"/>
  <c r="L91"/>
  <c r="L106" s="1"/>
  <c r="N189"/>
  <c r="B205" s="1"/>
  <c r="O189"/>
  <c r="G92"/>
  <c r="G107" s="1"/>
  <c r="G96"/>
  <c r="G111" s="1"/>
  <c r="G106"/>
  <c r="G91"/>
  <c r="G110"/>
  <c r="G95"/>
  <c r="K105"/>
  <c r="K90"/>
  <c r="N190"/>
  <c r="B206" s="1"/>
  <c r="O190"/>
  <c r="C152"/>
  <c r="C166" s="1"/>
  <c r="C120"/>
  <c r="C135"/>
  <c r="C160"/>
  <c r="C174" s="1"/>
  <c r="C143"/>
  <c r="C128"/>
  <c r="C156"/>
  <c r="C170" s="1"/>
  <c r="C139"/>
  <c r="C124"/>
  <c r="F90"/>
  <c r="F105" s="1"/>
  <c r="F93"/>
  <c r="F108" s="1"/>
  <c r="F97"/>
  <c r="F112" s="1"/>
  <c r="F92"/>
  <c r="F107" s="1"/>
  <c r="F96"/>
  <c r="F111" s="1"/>
  <c r="J90"/>
  <c r="J105" s="1"/>
  <c r="J93"/>
  <c r="J108" s="1"/>
  <c r="J92"/>
  <c r="J107" s="1"/>
  <c r="E92"/>
  <c r="E107"/>
  <c r="E96"/>
  <c r="E111"/>
  <c r="E91"/>
  <c r="E106" s="1"/>
  <c r="E95"/>
  <c r="E110" s="1"/>
  <c r="I94"/>
  <c r="I109" s="1"/>
  <c r="I90"/>
  <c r="I105" s="1"/>
  <c r="I93"/>
  <c r="I108"/>
  <c r="N192"/>
  <c r="B208" s="1"/>
  <c r="O192"/>
  <c r="J233"/>
  <c r="H58"/>
  <c r="D48"/>
  <c r="H48"/>
  <c r="E54"/>
  <c r="E57"/>
  <c r="G58"/>
  <c r="E59"/>
  <c r="N77"/>
  <c r="J241" s="1"/>
  <c r="K241" s="1"/>
  <c r="L241" s="1"/>
  <c r="G48"/>
  <c r="G54" s="1"/>
  <c r="K48"/>
  <c r="K54" s="1"/>
  <c r="I152" l="1"/>
  <c r="I166" s="1"/>
  <c r="I120"/>
  <c r="I135"/>
  <c r="J135"/>
  <c r="J152"/>
  <c r="J166" s="1"/>
  <c r="J120"/>
  <c r="F155"/>
  <c r="F169" s="1"/>
  <c r="F138"/>
  <c r="F123"/>
  <c r="H156"/>
  <c r="H170" s="1"/>
  <c r="H124"/>
  <c r="H139"/>
  <c r="D156"/>
  <c r="D170" s="1"/>
  <c r="D124"/>
  <c r="D139"/>
  <c r="I153"/>
  <c r="I167" s="1"/>
  <c r="I136"/>
  <c r="I121"/>
  <c r="E152"/>
  <c r="E166" s="1"/>
  <c r="E120"/>
  <c r="E135"/>
  <c r="E156"/>
  <c r="E170" s="1"/>
  <c r="E139"/>
  <c r="E124"/>
  <c r="D121"/>
  <c r="D153"/>
  <c r="D167" s="1"/>
  <c r="D136"/>
  <c r="I156"/>
  <c r="I170" s="1"/>
  <c r="I139"/>
  <c r="I124"/>
  <c r="E153"/>
  <c r="E167" s="1"/>
  <c r="E136"/>
  <c r="E121"/>
  <c r="J155"/>
  <c r="J169" s="1"/>
  <c r="J138"/>
  <c r="J123"/>
  <c r="F158"/>
  <c r="F172" s="1"/>
  <c r="F141"/>
  <c r="F126"/>
  <c r="F159"/>
  <c r="F173" s="1"/>
  <c r="F142"/>
  <c r="F127"/>
  <c r="F135"/>
  <c r="F152"/>
  <c r="F166" s="1"/>
  <c r="F120"/>
  <c r="G158"/>
  <c r="G172" s="1"/>
  <c r="G126"/>
  <c r="G141"/>
  <c r="L121"/>
  <c r="L153"/>
  <c r="L167" s="1"/>
  <c r="L136"/>
  <c r="H157"/>
  <c r="H171" s="1"/>
  <c r="H125"/>
  <c r="H140"/>
  <c r="D160"/>
  <c r="D174" s="1"/>
  <c r="D128"/>
  <c r="D143"/>
  <c r="D157"/>
  <c r="D171" s="1"/>
  <c r="D125"/>
  <c r="D140"/>
  <c r="I122"/>
  <c r="I154"/>
  <c r="I168" s="1"/>
  <c r="I137"/>
  <c r="E160"/>
  <c r="E174" s="1"/>
  <c r="E143"/>
  <c r="E128"/>
  <c r="J153"/>
  <c r="J167" s="1"/>
  <c r="J121"/>
  <c r="J136"/>
  <c r="G123"/>
  <c r="G155"/>
  <c r="G169" s="1"/>
  <c r="G138"/>
  <c r="D161"/>
  <c r="D175" s="1"/>
  <c r="D129"/>
  <c r="D144"/>
  <c r="E157"/>
  <c r="E171" s="1"/>
  <c r="E140"/>
  <c r="E125"/>
  <c r="J154"/>
  <c r="J168" s="1"/>
  <c r="J137"/>
  <c r="J122"/>
  <c r="F154"/>
  <c r="F168" s="1"/>
  <c r="F137"/>
  <c r="F122"/>
  <c r="G154"/>
  <c r="G168" s="1"/>
  <c r="G122"/>
  <c r="G137"/>
  <c r="H121"/>
  <c r="H153"/>
  <c r="H167" s="1"/>
  <c r="H136"/>
  <c r="K154"/>
  <c r="K168" s="1"/>
  <c r="K122"/>
  <c r="K137"/>
  <c r="C147"/>
  <c r="C148" s="1"/>
  <c r="K152"/>
  <c r="K166" s="1"/>
  <c r="K120"/>
  <c r="K135"/>
  <c r="G157"/>
  <c r="G171" s="1"/>
  <c r="G140"/>
  <c r="G125"/>
  <c r="G153"/>
  <c r="G167" s="1"/>
  <c r="G136"/>
  <c r="G121"/>
  <c r="I56"/>
  <c r="I55"/>
  <c r="F53"/>
  <c r="F60"/>
  <c r="F56"/>
  <c r="F55"/>
  <c r="F59"/>
  <c r="F57"/>
  <c r="F54"/>
  <c r="E239"/>
  <c r="D210"/>
  <c r="E56"/>
  <c r="E55"/>
  <c r="N79"/>
  <c r="B247" s="1"/>
  <c r="I57"/>
  <c r="G59"/>
  <c r="O197"/>
  <c r="K53"/>
  <c r="K55"/>
  <c r="D56"/>
  <c r="D55"/>
  <c r="D59"/>
  <c r="D57"/>
  <c r="D54"/>
  <c r="D53"/>
  <c r="D60"/>
  <c r="E237"/>
  <c r="D208"/>
  <c r="G208" s="1"/>
  <c r="I155"/>
  <c r="I169" s="1"/>
  <c r="I123"/>
  <c r="I138"/>
  <c r="E158"/>
  <c r="E172" s="1"/>
  <c r="E126"/>
  <c r="E141"/>
  <c r="E122"/>
  <c r="E154"/>
  <c r="E168" s="1"/>
  <c r="E137"/>
  <c r="G56"/>
  <c r="G55"/>
  <c r="G53"/>
  <c r="H54"/>
  <c r="H56"/>
  <c r="H55"/>
  <c r="H53"/>
  <c r="K233"/>
  <c r="J243"/>
  <c r="M243" s="1"/>
  <c r="E235"/>
  <c r="D206"/>
  <c r="G206" s="1"/>
  <c r="E234"/>
  <c r="D205"/>
  <c r="G205" s="1"/>
  <c r="E238"/>
  <c r="D209"/>
  <c r="G209" s="1"/>
  <c r="E233"/>
  <c r="D204"/>
  <c r="G204" s="1"/>
  <c r="E241"/>
  <c r="D212"/>
  <c r="G212" s="1"/>
  <c r="E159"/>
  <c r="E173" s="1"/>
  <c r="E127"/>
  <c r="E142"/>
  <c r="E155"/>
  <c r="E169" s="1"/>
  <c r="E123"/>
  <c r="E138"/>
  <c r="E236"/>
  <c r="D207"/>
  <c r="G207" s="1"/>
  <c r="E240"/>
  <c r="D211"/>
  <c r="G211" s="1"/>
  <c r="F156"/>
  <c r="F170" s="1"/>
  <c r="F124"/>
  <c r="F139"/>
  <c r="F157"/>
  <c r="F171" s="1"/>
  <c r="F125"/>
  <c r="F140"/>
  <c r="F153"/>
  <c r="F167" s="1"/>
  <c r="F121"/>
  <c r="F136"/>
  <c r="K153"/>
  <c r="K167" s="1"/>
  <c r="K136"/>
  <c r="K121"/>
  <c r="G152"/>
  <c r="G166" s="1"/>
  <c r="G120"/>
  <c r="G135"/>
  <c r="G156"/>
  <c r="G170" s="1"/>
  <c r="G139"/>
  <c r="G124"/>
  <c r="L135"/>
  <c r="L147" s="1"/>
  <c r="L148" s="1"/>
  <c r="L152"/>
  <c r="L166" s="1"/>
  <c r="L120"/>
  <c r="H154"/>
  <c r="H168" s="1"/>
  <c r="H137"/>
  <c r="H122"/>
  <c r="H155"/>
  <c r="H169" s="1"/>
  <c r="H138"/>
  <c r="H123"/>
  <c r="H135"/>
  <c r="H147" s="1"/>
  <c r="H148" s="1"/>
  <c r="H152"/>
  <c r="H166" s="1"/>
  <c r="H120"/>
  <c r="D158"/>
  <c r="D172" s="1"/>
  <c r="D141"/>
  <c r="D126"/>
  <c r="D154"/>
  <c r="D168" s="1"/>
  <c r="D137"/>
  <c r="D122"/>
  <c r="D159"/>
  <c r="D173" s="1"/>
  <c r="D142"/>
  <c r="D127"/>
  <c r="D155"/>
  <c r="D169" s="1"/>
  <c r="D138"/>
  <c r="D123"/>
  <c r="D135"/>
  <c r="D152"/>
  <c r="D166" s="1"/>
  <c r="F178" s="1"/>
  <c r="D120"/>
  <c r="F179" s="1"/>
  <c r="D62"/>
  <c r="I53"/>
  <c r="F58"/>
  <c r="I54"/>
  <c r="H57"/>
  <c r="D61"/>
  <c r="D58"/>
  <c r="G57"/>
  <c r="S232"/>
  <c r="F240" l="1"/>
  <c r="G240"/>
  <c r="H240" s="1"/>
  <c r="Q240"/>
  <c r="F236"/>
  <c r="G236"/>
  <c r="H236" s="1"/>
  <c r="Q236"/>
  <c r="F241"/>
  <c r="Q241"/>
  <c r="G241"/>
  <c r="H241" s="1"/>
  <c r="F233"/>
  <c r="G233"/>
  <c r="H233" s="1"/>
  <c r="Q233"/>
  <c r="F238"/>
  <c r="G238"/>
  <c r="H238" s="1"/>
  <c r="Q238"/>
  <c r="R238" s="1"/>
  <c r="F234"/>
  <c r="G234"/>
  <c r="H234" s="1"/>
  <c r="Q234"/>
  <c r="R234" s="1"/>
  <c r="F235"/>
  <c r="Q235"/>
  <c r="G235"/>
  <c r="H235" s="1"/>
  <c r="L233"/>
  <c r="L243" s="1"/>
  <c r="N243" s="1"/>
  <c r="O243" s="1"/>
  <c r="P243" s="1"/>
  <c r="K243"/>
  <c r="F237"/>
  <c r="Q237"/>
  <c r="G237"/>
  <c r="H237" s="1"/>
  <c r="E242"/>
  <c r="D213"/>
  <c r="G213" s="1"/>
  <c r="F239"/>
  <c r="Q239"/>
  <c r="G239"/>
  <c r="H239" s="1"/>
  <c r="D147"/>
  <c r="D148" s="1"/>
  <c r="G147"/>
  <c r="G148" s="1"/>
  <c r="F180"/>
  <c r="F181" s="1"/>
  <c r="K83" s="1"/>
  <c r="F83" s="1"/>
  <c r="K147"/>
  <c r="K148" s="1"/>
  <c r="I83"/>
  <c r="F147"/>
  <c r="F148" s="1"/>
  <c r="E147"/>
  <c r="E148" s="1"/>
  <c r="I147"/>
  <c r="I148" s="1"/>
  <c r="G214"/>
  <c r="G210"/>
  <c r="G83"/>
  <c r="J147"/>
  <c r="J148" s="1"/>
  <c r="H83" s="1"/>
  <c r="S235" l="1"/>
  <c r="S234"/>
  <c r="S238"/>
  <c r="S239"/>
  <c r="R237"/>
  <c r="R241"/>
  <c r="D223"/>
  <c r="B256" s="1"/>
  <c r="D218"/>
  <c r="R239"/>
  <c r="S237"/>
  <c r="R235"/>
  <c r="R233"/>
  <c r="S233"/>
  <c r="S241"/>
  <c r="R236"/>
  <c r="S236"/>
  <c r="R240"/>
  <c r="S240"/>
  <c r="F242"/>
  <c r="G242"/>
  <c r="H242" s="1"/>
  <c r="H243" s="1"/>
  <c r="B248" s="1"/>
  <c r="B249" s="1"/>
  <c r="Q242"/>
  <c r="B257"/>
  <c r="B258" s="1"/>
  <c r="P244"/>
  <c r="R242" l="1"/>
  <c r="R243"/>
  <c r="S242"/>
  <c r="S243" s="1"/>
  <c r="W244" l="1"/>
  <c r="W248" s="1"/>
  <c r="B261" s="1"/>
</calcChain>
</file>

<file path=xl/sharedStrings.xml><?xml version="1.0" encoding="utf-8"?>
<sst xmlns="http://schemas.openxmlformats.org/spreadsheetml/2006/main" count="75" uniqueCount="66">
  <si>
    <t>All Claims</t>
  </si>
  <si>
    <t>Earned Premium</t>
  </si>
  <si>
    <t>All Claims: Incurred per $1m Earned</t>
  </si>
  <si>
    <t>Mean</t>
  </si>
  <si>
    <t>Residuals</t>
  </si>
  <si>
    <t>Std Dev</t>
  </si>
  <si>
    <t>Standardised Residuals</t>
  </si>
  <si>
    <t>Expected Values</t>
  </si>
  <si>
    <t>One Factor Model</t>
  </si>
  <si>
    <t>scale</t>
  </si>
  <si>
    <t>function to minimise</t>
  </si>
  <si>
    <t>alpha</t>
  </si>
  <si>
    <t>beta</t>
  </si>
  <si>
    <t>Sigma(ij)</t>
  </si>
  <si>
    <t>Squared Standardised Residuals</t>
  </si>
  <si>
    <t>Absolute Standardised Residuals</t>
  </si>
  <si>
    <t>Average</t>
  </si>
  <si>
    <t>Error</t>
  </si>
  <si>
    <t>Likelihoods</t>
  </si>
  <si>
    <t>Log-Likelihoods</t>
  </si>
  <si>
    <t>sum of log-likelihood</t>
  </si>
  <si>
    <t>sum of squared standardised residuals</t>
  </si>
  <si>
    <t>n</t>
  </si>
  <si>
    <t>Implied Claim Counts</t>
  </si>
  <si>
    <t>Projected Implied Claim Counts</t>
  </si>
  <si>
    <t>Ultimate Implied Claim Counts</t>
  </si>
  <si>
    <t>Esrned Premium</t>
  </si>
  <si>
    <t>Implied Average Claim Size</t>
  </si>
  <si>
    <t>Na</t>
  </si>
  <si>
    <t>Estimated Unearned Premium</t>
  </si>
  <si>
    <t>Np</t>
  </si>
  <si>
    <t>alpha^2</t>
  </si>
  <si>
    <t>Accident Year Variance</t>
  </si>
  <si>
    <t>Estimated Claim Cost</t>
  </si>
  <si>
    <t>beta^2</t>
  </si>
  <si>
    <t>Accident Year</t>
  </si>
  <si>
    <t>z</t>
  </si>
  <si>
    <t>z^2</t>
  </si>
  <si>
    <t>x</t>
  </si>
  <si>
    <t>x^2</t>
  </si>
  <si>
    <t>alpha^2+beta^2/x</t>
  </si>
  <si>
    <t>z^2*(alpha^2+beta^2/x)</t>
  </si>
  <si>
    <t>sigmai^2</t>
  </si>
  <si>
    <t>Di</t>
  </si>
  <si>
    <t>Di^2</t>
  </si>
  <si>
    <t>Di^2+Sigma^2</t>
  </si>
  <si>
    <t>(1/n(sum(Di)))^2</t>
  </si>
  <si>
    <t>1/n(sum(Di^2+Sigma^2))</t>
  </si>
  <si>
    <t>1/n(sum(Di^2+Sigma^2))-(1/n(sum(Di)))^2</t>
  </si>
  <si>
    <t>sigmap^2</t>
  </si>
  <si>
    <t>z*(x+z)</t>
  </si>
  <si>
    <t>z*(x+z)*(alpha^2+beta^2/x)</t>
  </si>
  <si>
    <t>(x+z)^2*(alpha^2+beta^2/x)</t>
  </si>
  <si>
    <t>alpha^2*np*na</t>
  </si>
  <si>
    <t>alpha^2*np^2+beta^2*np</t>
  </si>
  <si>
    <t>alpha^2*na^2+beta^2*na</t>
  </si>
  <si>
    <t>Outstanding Claims</t>
  </si>
  <si>
    <t>Central Estimate</t>
  </si>
  <si>
    <t>CoV</t>
  </si>
  <si>
    <t>corr</t>
  </si>
  <si>
    <t>Risk Margin</t>
  </si>
  <si>
    <t>Implied Claims Count</t>
  </si>
  <si>
    <t>Premium Liability - Variance Estimate</t>
  </si>
  <si>
    <t>Correlation Coefficient Between Premium Liability and Outstanding Claim Liability</t>
  </si>
  <si>
    <t>Maximum Possible Correlation of OSC to other lines</t>
  </si>
  <si>
    <t>Estimated Earned Premium For Accident Period 12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</si>
</sst>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64" formatCode="_-* #,##0_-;\-* #,##0_-;_-* &quot;-&quot;??_-;_-@_-"/>
    <numFmt numFmtId="165" formatCode="_-* #,##0.0000000_-;\-* #,##0.0000000_-;_-* &quot;-&quot;??_-;_-@_-"/>
    <numFmt numFmtId="166" formatCode="#,##0.0"/>
    <numFmt numFmtId="167" formatCode="_-* #,##0_-;\-* #,##0_-;_-* &quot;-&quot;?_-;_-@_-"/>
    <numFmt numFmtId="168" formatCode="_-* #,##0.0000_-;\-* #,##0.0000_-;_-* &quot;-&quot;??_-;_-@_-"/>
    <numFmt numFmtId="169" formatCode="_-* #,##0.000_-;\-* #,##0.000_-;_-* &quot;-&quot;??_-;_-@_-"/>
    <numFmt numFmtId="170" formatCode="#,##0.000000"/>
    <numFmt numFmtId="171" formatCode="_-* #,##0.000_-;\-* #,##0.000_-;_-* &quot;-&quot;???_-;_-@_-"/>
    <numFmt numFmtId="172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3"/>
    <xf numFmtId="0" fontId="3" fillId="0" borderId="0" xfId="3" applyFont="1" applyAlignment="1">
      <alignment wrapText="1"/>
    </xf>
    <xf numFmtId="0" fontId="3" fillId="0" borderId="0" xfId="3" applyFont="1"/>
    <xf numFmtId="3" fontId="2" fillId="0" borderId="0" xfId="3" applyNumberFormat="1"/>
    <xf numFmtId="164" fontId="0" fillId="0" borderId="0" xfId="1" applyNumberFormat="1" applyFont="1"/>
    <xf numFmtId="164" fontId="2" fillId="0" borderId="0" xfId="3" applyNumberFormat="1"/>
    <xf numFmtId="0" fontId="3" fillId="0" borderId="0" xfId="3" applyFont="1" applyAlignment="1">
      <alignment horizontal="right"/>
    </xf>
    <xf numFmtId="4" fontId="2" fillId="0" borderId="0" xfId="3" applyNumberFormat="1"/>
    <xf numFmtId="0" fontId="2" fillId="0" borderId="0" xfId="3" applyFont="1"/>
    <xf numFmtId="3" fontId="4" fillId="0" borderId="0" xfId="3" applyNumberFormat="1" applyFont="1"/>
    <xf numFmtId="3" fontId="5" fillId="0" borderId="0" xfId="3" applyNumberFormat="1" applyFont="1"/>
    <xf numFmtId="9" fontId="2" fillId="0" borderId="0" xfId="2" applyFont="1"/>
    <xf numFmtId="165" fontId="0" fillId="0" borderId="0" xfId="4" applyNumberFormat="1" applyFont="1"/>
    <xf numFmtId="166" fontId="2" fillId="0" borderId="0" xfId="3" applyNumberFormat="1"/>
    <xf numFmtId="165" fontId="2" fillId="0" borderId="0" xfId="4" applyNumberFormat="1" applyFont="1"/>
    <xf numFmtId="164" fontId="5" fillId="0" borderId="0" xfId="3" applyNumberFormat="1" applyFont="1"/>
    <xf numFmtId="0" fontId="2" fillId="0" borderId="0" xfId="3" applyAlignment="1">
      <alignment horizontal="right"/>
    </xf>
    <xf numFmtId="164" fontId="2" fillId="2" borderId="0" xfId="1" applyNumberFormat="1" applyFont="1" applyFill="1"/>
    <xf numFmtId="167" fontId="2" fillId="2" borderId="0" xfId="3" applyNumberFormat="1" applyFill="1"/>
    <xf numFmtId="164" fontId="2" fillId="0" borderId="0" xfId="1" applyNumberFormat="1" applyFont="1"/>
    <xf numFmtId="168" fontId="0" fillId="0" borderId="0" xfId="4" applyNumberFormat="1" applyFont="1"/>
    <xf numFmtId="3" fontId="0" fillId="0" borderId="0" xfId="0" applyNumberFormat="1"/>
    <xf numFmtId="0" fontId="2" fillId="0" borderId="0" xfId="0" applyFont="1"/>
    <xf numFmtId="168" fontId="2" fillId="0" borderId="0" xfId="4" applyNumberFormat="1" applyFont="1"/>
    <xf numFmtId="169" fontId="2" fillId="0" borderId="0" xfId="4" applyNumberFormat="1" applyFont="1"/>
    <xf numFmtId="0" fontId="0" fillId="0" borderId="0" xfId="0" applyFill="1" applyBorder="1" applyAlignment="1"/>
    <xf numFmtId="0" fontId="2" fillId="0" borderId="0" xfId="0" applyFont="1" applyAlignment="1">
      <alignment wrapText="1"/>
    </xf>
    <xf numFmtId="164" fontId="0" fillId="0" borderId="0" xfId="0" applyNumberFormat="1"/>
    <xf numFmtId="170" fontId="0" fillId="0" borderId="0" xfId="0" applyNumberFormat="1"/>
    <xf numFmtId="9" fontId="0" fillId="0" borderId="0" xfId="2" applyFont="1"/>
    <xf numFmtId="171" fontId="0" fillId="0" borderId="0" xfId="0" applyNumberFormat="1"/>
    <xf numFmtId="172" fontId="0" fillId="0" borderId="0" xfId="2" applyNumberFormat="1" applyFont="1"/>
    <xf numFmtId="1" fontId="0" fillId="0" borderId="0" xfId="0" applyNumberFormat="1"/>
    <xf numFmtId="0" fontId="0" fillId="0" borderId="0" xfId="0" applyAlignment="1">
      <alignment horizontal="right"/>
    </xf>
    <xf numFmtId="164" fontId="0" fillId="3" borderId="0" xfId="0" applyNumberFormat="1" applyFill="1"/>
    <xf numFmtId="2" fontId="0" fillId="0" borderId="0" xfId="0" applyNumberFormat="1"/>
    <xf numFmtId="168" fontId="0" fillId="0" borderId="0" xfId="0" applyNumberFormat="1"/>
    <xf numFmtId="43" fontId="0" fillId="0" borderId="0" xfId="0" applyNumberFormat="1"/>
    <xf numFmtId="0" fontId="2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165" fontId="0" fillId="0" borderId="0" xfId="0" applyNumberFormat="1"/>
    <xf numFmtId="0" fontId="2" fillId="4" borderId="4" xfId="0" applyFont="1" applyFill="1" applyBorder="1" applyAlignment="1">
      <alignment horizontal="right"/>
    </xf>
    <xf numFmtId="164" fontId="2" fillId="3" borderId="0" xfId="1" applyNumberFormat="1" applyFont="1" applyFill="1" applyBorder="1"/>
    <xf numFmtId="0" fontId="0" fillId="4" borderId="0" xfId="0" applyFill="1" applyBorder="1"/>
    <xf numFmtId="0" fontId="0" fillId="4" borderId="5" xfId="0" applyFill="1" applyBorder="1"/>
    <xf numFmtId="172" fontId="2" fillId="3" borderId="0" xfId="2" applyNumberFormat="1" applyFont="1" applyFill="1" applyBorder="1"/>
    <xf numFmtId="10" fontId="2" fillId="3" borderId="0" xfId="2" applyNumberFormat="1" applyFont="1" applyFill="1"/>
    <xf numFmtId="0" fontId="0" fillId="4" borderId="4" xfId="0" applyFill="1" applyBorder="1"/>
    <xf numFmtId="0" fontId="2" fillId="4" borderId="4" xfId="0" applyFont="1" applyFill="1" applyBorder="1"/>
    <xf numFmtId="9" fontId="0" fillId="0" borderId="0" xfId="0" applyNumberFormat="1"/>
    <xf numFmtId="164" fontId="2" fillId="4" borderId="4" xfId="0" applyNumberFormat="1" applyFont="1" applyFill="1" applyBorder="1"/>
    <xf numFmtId="164" fontId="2" fillId="2" borderId="0" xfId="1" applyNumberFormat="1" applyFont="1" applyFill="1" applyBorder="1"/>
    <xf numFmtId="0" fontId="0" fillId="4" borderId="0" xfId="0" applyFill="1" applyBorder="1" applyAlignment="1"/>
    <xf numFmtId="164" fontId="2" fillId="4" borderId="0" xfId="1" applyNumberFormat="1" applyFont="1" applyFill="1" applyBorder="1"/>
    <xf numFmtId="43" fontId="0" fillId="4" borderId="0" xfId="0" applyNumberFormat="1" applyFill="1" applyBorder="1"/>
    <xf numFmtId="9" fontId="0" fillId="3" borderId="0" xfId="0" applyNumberFormat="1" applyFill="1" applyBorder="1"/>
    <xf numFmtId="0" fontId="2" fillId="4" borderId="4" xfId="3" applyFill="1" applyBorder="1"/>
    <xf numFmtId="0" fontId="2" fillId="4" borderId="0" xfId="3" applyFill="1" applyBorder="1"/>
    <xf numFmtId="0" fontId="2" fillId="4" borderId="5" xfId="3" applyFill="1" applyBorder="1"/>
    <xf numFmtId="0" fontId="2" fillId="4" borderId="6" xfId="3" applyFill="1" applyBorder="1"/>
    <xf numFmtId="172" fontId="0" fillId="3" borderId="7" xfId="0" applyNumberFormat="1" applyFill="1" applyBorder="1"/>
    <xf numFmtId="0" fontId="2" fillId="4" borderId="7" xfId="3" applyFill="1" applyBorder="1"/>
    <xf numFmtId="0" fontId="2" fillId="4" borderId="8" xfId="3" applyFill="1" applyBorder="1"/>
    <xf numFmtId="0" fontId="3" fillId="0" borderId="0" xfId="0" applyFont="1"/>
  </cellXfs>
  <cellStyles count="5">
    <cellStyle name="Comma" xfId="1" builtinId="3"/>
    <cellStyle name="Comma 2" xfId="4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Systemic Risk by Accident Period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tx>
            <c:strRef>
              <c:f>'[1]all claims'!$A$232:$A$242</c:f>
              <c:strCache>
                <c:ptCount val="1"/>
                <c:pt idx="0">
                  <c:v>1 2 3 4 5 6 7 8 9 10 11</c:v>
                </c:pt>
              </c:strCache>
            </c:strRef>
          </c:tx>
          <c:marker>
            <c:symbol val="none"/>
          </c:marker>
          <c:val>
            <c:numRef>
              <c:f>'[1]all claims'!$Y$232:$Y$242</c:f>
              <c:numCache>
                <c:formatCode>General</c:formatCode>
                <c:ptCount val="11"/>
                <c:pt idx="2">
                  <c:v>0.71381731175902607</c:v>
                </c:pt>
                <c:pt idx="3">
                  <c:v>0.9465902052868933</c:v>
                </c:pt>
                <c:pt idx="4">
                  <c:v>0.96504811764941079</c:v>
                </c:pt>
                <c:pt idx="5">
                  <c:v>0.97643564577909558</c:v>
                </c:pt>
                <c:pt idx="6">
                  <c:v>0.9867491176091856</c:v>
                </c:pt>
                <c:pt idx="7">
                  <c:v>0.99232995583750838</c:v>
                </c:pt>
                <c:pt idx="8">
                  <c:v>0.9954599233845326</c:v>
                </c:pt>
                <c:pt idx="9">
                  <c:v>0.99719698393457423</c:v>
                </c:pt>
                <c:pt idx="10">
                  <c:v>0.99836105044456158</c:v>
                </c:pt>
              </c:numCache>
            </c:numRef>
          </c:val>
        </c:ser>
        <c:marker val="1"/>
        <c:axId val="101454592"/>
        <c:axId val="101456512"/>
      </c:lineChart>
      <c:catAx>
        <c:axId val="10145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Accident Period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1456512"/>
        <c:crosses val="autoZero"/>
        <c:auto val="1"/>
        <c:lblAlgn val="ctr"/>
        <c:lblOffset val="100"/>
      </c:catAx>
      <c:valAx>
        <c:axId val="101456512"/>
        <c:scaling>
          <c:orientation val="minMax"/>
          <c:max val="1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% Risk from Systemic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1454592"/>
        <c:crosses val="autoZero"/>
        <c:crossBetween val="between"/>
      </c:valAx>
    </c:plotArea>
    <c:plotVisOnly val="1"/>
    <c:dispBlanksAs val="gap"/>
  </c:chart>
  <c:spPr>
    <a:solidFill>
      <a:schemeClr val="bg1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265</xdr:row>
      <xdr:rowOff>9525</xdr:rowOff>
    </xdr:from>
    <xdr:to>
      <xdr:col>3</xdr:col>
      <xdr:colOff>1123950</xdr:colOff>
      <xdr:row>287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100192/Local%20Settings/Temporary%20Internet%20Files/Content.Outlook/T2GJ0SIM/Sample_Exercise%20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size"/>
      <sheetName val="all claims"/>
    </sheetNames>
    <sheetDataSet>
      <sheetData sheetId="0"/>
      <sheetData sheetId="1">
        <row r="84">
          <cell r="B84">
            <v>1606.8592463680034</v>
          </cell>
        </row>
        <row r="204">
          <cell r="B204">
            <v>0</v>
          </cell>
        </row>
        <row r="205">
          <cell r="B205">
            <v>4.8091723435310154</v>
          </cell>
        </row>
        <row r="206">
          <cell r="B206">
            <v>39.896301995055424</v>
          </cell>
        </row>
        <row r="207">
          <cell r="B207">
            <v>62.770884627201447</v>
          </cell>
        </row>
        <row r="208">
          <cell r="B208">
            <v>94.766120672861604</v>
          </cell>
        </row>
        <row r="209">
          <cell r="B209">
            <v>171.21024062287358</v>
          </cell>
        </row>
        <row r="210">
          <cell r="B210">
            <v>298.30267407933098</v>
          </cell>
        </row>
        <row r="211">
          <cell r="B211">
            <v>506.34373556156493</v>
          </cell>
        </row>
        <row r="212">
          <cell r="B212">
            <v>822.279563265462</v>
          </cell>
        </row>
        <row r="213">
          <cell r="B213">
            <v>1408.7690047529898</v>
          </cell>
        </row>
        <row r="218">
          <cell r="D218">
            <v>2017.6153820385182</v>
          </cell>
        </row>
        <row r="223">
          <cell r="D223">
            <v>1008.8076910192591</v>
          </cell>
        </row>
        <row r="232">
          <cell r="A232">
            <v>1</v>
          </cell>
        </row>
        <row r="233">
          <cell r="A233">
            <v>2</v>
          </cell>
        </row>
        <row r="234">
          <cell r="A234">
            <v>3</v>
          </cell>
          <cell r="Y234">
            <v>0.71381731175902607</v>
          </cell>
        </row>
        <row r="235">
          <cell r="A235">
            <v>4</v>
          </cell>
          <cell r="Y235">
            <v>0.9465902052868933</v>
          </cell>
        </row>
        <row r="236">
          <cell r="A236">
            <v>5</v>
          </cell>
          <cell r="Y236">
            <v>0.96504811764941079</v>
          </cell>
        </row>
        <row r="237">
          <cell r="A237">
            <v>6</v>
          </cell>
          <cell r="Y237">
            <v>0.97643564577909558</v>
          </cell>
        </row>
        <row r="238">
          <cell r="A238">
            <v>7</v>
          </cell>
          <cell r="Y238">
            <v>0.9867491176091856</v>
          </cell>
        </row>
        <row r="239">
          <cell r="A239">
            <v>8</v>
          </cell>
          <cell r="Y239">
            <v>0.99232995583750838</v>
          </cell>
        </row>
        <row r="240">
          <cell r="A240">
            <v>9</v>
          </cell>
          <cell r="Y240">
            <v>0.9954599233845326</v>
          </cell>
        </row>
        <row r="241">
          <cell r="A241">
            <v>10</v>
          </cell>
          <cell r="Y241">
            <v>0.99719698393457423</v>
          </cell>
        </row>
        <row r="242">
          <cell r="A242">
            <v>11</v>
          </cell>
          <cell r="Y242">
            <v>0.99836105044456158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4"/>
  <sheetViews>
    <sheetView tabSelected="1" topLeftCell="A246" workbookViewId="0">
      <selection activeCell="G273" sqref="G273"/>
    </sheetView>
  </sheetViews>
  <sheetFormatPr defaultRowHeight="12.75"/>
  <cols>
    <col min="1" max="1" width="25.140625" style="1" customWidth="1"/>
    <col min="2" max="2" width="21.85546875" style="1" customWidth="1"/>
    <col min="3" max="3" width="22.42578125" style="1" bestFit="1" customWidth="1"/>
    <col min="4" max="4" width="17.85546875" style="1" bestFit="1" customWidth="1"/>
    <col min="5" max="5" width="19.42578125" style="1" customWidth="1"/>
    <col min="6" max="6" width="18.7109375" style="1" bestFit="1" customWidth="1"/>
    <col min="7" max="7" width="21" style="1" customWidth="1"/>
    <col min="8" max="8" width="20" style="1" bestFit="1" customWidth="1"/>
    <col min="9" max="9" width="20.85546875" style="1" bestFit="1" customWidth="1"/>
    <col min="10" max="10" width="13.7109375" style="1" customWidth="1"/>
    <col min="11" max="12" width="17.7109375" style="1" bestFit="1" customWidth="1"/>
    <col min="13" max="13" width="16" style="1" bestFit="1" customWidth="1"/>
    <col min="14" max="14" width="21.42578125" style="1" bestFit="1" customWidth="1"/>
    <col min="15" max="15" width="23.28515625" style="1" customWidth="1"/>
    <col min="16" max="16" width="16" style="1" bestFit="1" customWidth="1"/>
    <col min="17" max="18" width="9.140625" style="1"/>
    <col min="19" max="19" width="23.42578125" style="1" bestFit="1" customWidth="1"/>
    <col min="20" max="20" width="12.5703125" style="1" bestFit="1" customWidth="1"/>
    <col min="21" max="22" width="21" style="1" bestFit="1" customWidth="1"/>
    <col min="23" max="23" width="7.7109375" style="1" bestFit="1" customWidth="1"/>
    <col min="24" max="24" width="21.42578125" style="1" bestFit="1" customWidth="1"/>
    <col min="25" max="256" width="9.140625" style="1"/>
    <col min="257" max="257" width="25.140625" style="1" customWidth="1"/>
    <col min="258" max="258" width="21.85546875" style="1" customWidth="1"/>
    <col min="259" max="259" width="22.42578125" style="1" bestFit="1" customWidth="1"/>
    <col min="260" max="260" width="17.85546875" style="1" bestFit="1" customWidth="1"/>
    <col min="261" max="261" width="19.42578125" style="1" customWidth="1"/>
    <col min="262" max="262" width="18.7109375" style="1" bestFit="1" customWidth="1"/>
    <col min="263" max="263" width="21" style="1" customWidth="1"/>
    <col min="264" max="264" width="20" style="1" bestFit="1" customWidth="1"/>
    <col min="265" max="265" width="20.85546875" style="1" bestFit="1" customWidth="1"/>
    <col min="266" max="266" width="13.7109375" style="1" customWidth="1"/>
    <col min="267" max="268" width="17.7109375" style="1" bestFit="1" customWidth="1"/>
    <col min="269" max="269" width="16" style="1" bestFit="1" customWidth="1"/>
    <col min="270" max="270" width="21.42578125" style="1" bestFit="1" customWidth="1"/>
    <col min="271" max="271" width="23.28515625" style="1" customWidth="1"/>
    <col min="272" max="272" width="16" style="1" bestFit="1" customWidth="1"/>
    <col min="273" max="274" width="9.140625" style="1"/>
    <col min="275" max="275" width="23.42578125" style="1" bestFit="1" customWidth="1"/>
    <col min="276" max="276" width="12.5703125" style="1" bestFit="1" customWidth="1"/>
    <col min="277" max="278" width="21" style="1" bestFit="1" customWidth="1"/>
    <col min="279" max="279" width="7.7109375" style="1" bestFit="1" customWidth="1"/>
    <col min="280" max="280" width="21.42578125" style="1" bestFit="1" customWidth="1"/>
    <col min="281" max="512" width="9.140625" style="1"/>
    <col min="513" max="513" width="25.140625" style="1" customWidth="1"/>
    <col min="514" max="514" width="21.85546875" style="1" customWidth="1"/>
    <col min="515" max="515" width="22.42578125" style="1" bestFit="1" customWidth="1"/>
    <col min="516" max="516" width="17.85546875" style="1" bestFit="1" customWidth="1"/>
    <col min="517" max="517" width="19.42578125" style="1" customWidth="1"/>
    <col min="518" max="518" width="18.7109375" style="1" bestFit="1" customWidth="1"/>
    <col min="519" max="519" width="21" style="1" customWidth="1"/>
    <col min="520" max="520" width="20" style="1" bestFit="1" customWidth="1"/>
    <col min="521" max="521" width="20.85546875" style="1" bestFit="1" customWidth="1"/>
    <col min="522" max="522" width="13.7109375" style="1" customWidth="1"/>
    <col min="523" max="524" width="17.7109375" style="1" bestFit="1" customWidth="1"/>
    <col min="525" max="525" width="16" style="1" bestFit="1" customWidth="1"/>
    <col min="526" max="526" width="21.42578125" style="1" bestFit="1" customWidth="1"/>
    <col min="527" max="527" width="23.28515625" style="1" customWidth="1"/>
    <col min="528" max="528" width="16" style="1" bestFit="1" customWidth="1"/>
    <col min="529" max="530" width="9.140625" style="1"/>
    <col min="531" max="531" width="23.42578125" style="1" bestFit="1" customWidth="1"/>
    <col min="532" max="532" width="12.5703125" style="1" bestFit="1" customWidth="1"/>
    <col min="533" max="534" width="21" style="1" bestFit="1" customWidth="1"/>
    <col min="535" max="535" width="7.7109375" style="1" bestFit="1" customWidth="1"/>
    <col min="536" max="536" width="21.42578125" style="1" bestFit="1" customWidth="1"/>
    <col min="537" max="768" width="9.140625" style="1"/>
    <col min="769" max="769" width="25.140625" style="1" customWidth="1"/>
    <col min="770" max="770" width="21.85546875" style="1" customWidth="1"/>
    <col min="771" max="771" width="22.42578125" style="1" bestFit="1" customWidth="1"/>
    <col min="772" max="772" width="17.85546875" style="1" bestFit="1" customWidth="1"/>
    <col min="773" max="773" width="19.42578125" style="1" customWidth="1"/>
    <col min="774" max="774" width="18.7109375" style="1" bestFit="1" customWidth="1"/>
    <col min="775" max="775" width="21" style="1" customWidth="1"/>
    <col min="776" max="776" width="20" style="1" bestFit="1" customWidth="1"/>
    <col min="777" max="777" width="20.85546875" style="1" bestFit="1" customWidth="1"/>
    <col min="778" max="778" width="13.7109375" style="1" customWidth="1"/>
    <col min="779" max="780" width="17.7109375" style="1" bestFit="1" customWidth="1"/>
    <col min="781" max="781" width="16" style="1" bestFit="1" customWidth="1"/>
    <col min="782" max="782" width="21.42578125" style="1" bestFit="1" customWidth="1"/>
    <col min="783" max="783" width="23.28515625" style="1" customWidth="1"/>
    <col min="784" max="784" width="16" style="1" bestFit="1" customWidth="1"/>
    <col min="785" max="786" width="9.140625" style="1"/>
    <col min="787" max="787" width="23.42578125" style="1" bestFit="1" customWidth="1"/>
    <col min="788" max="788" width="12.5703125" style="1" bestFit="1" customWidth="1"/>
    <col min="789" max="790" width="21" style="1" bestFit="1" customWidth="1"/>
    <col min="791" max="791" width="7.7109375" style="1" bestFit="1" customWidth="1"/>
    <col min="792" max="792" width="21.42578125" style="1" bestFit="1" customWidth="1"/>
    <col min="793" max="1024" width="9.140625" style="1"/>
    <col min="1025" max="1025" width="25.140625" style="1" customWidth="1"/>
    <col min="1026" max="1026" width="21.85546875" style="1" customWidth="1"/>
    <col min="1027" max="1027" width="22.42578125" style="1" bestFit="1" customWidth="1"/>
    <col min="1028" max="1028" width="17.85546875" style="1" bestFit="1" customWidth="1"/>
    <col min="1029" max="1029" width="19.42578125" style="1" customWidth="1"/>
    <col min="1030" max="1030" width="18.7109375" style="1" bestFit="1" customWidth="1"/>
    <col min="1031" max="1031" width="21" style="1" customWidth="1"/>
    <col min="1032" max="1032" width="20" style="1" bestFit="1" customWidth="1"/>
    <col min="1033" max="1033" width="20.85546875" style="1" bestFit="1" customWidth="1"/>
    <col min="1034" max="1034" width="13.7109375" style="1" customWidth="1"/>
    <col min="1035" max="1036" width="17.7109375" style="1" bestFit="1" customWidth="1"/>
    <col min="1037" max="1037" width="16" style="1" bestFit="1" customWidth="1"/>
    <col min="1038" max="1038" width="21.42578125" style="1" bestFit="1" customWidth="1"/>
    <col min="1039" max="1039" width="23.28515625" style="1" customWidth="1"/>
    <col min="1040" max="1040" width="16" style="1" bestFit="1" customWidth="1"/>
    <col min="1041" max="1042" width="9.140625" style="1"/>
    <col min="1043" max="1043" width="23.42578125" style="1" bestFit="1" customWidth="1"/>
    <col min="1044" max="1044" width="12.5703125" style="1" bestFit="1" customWidth="1"/>
    <col min="1045" max="1046" width="21" style="1" bestFit="1" customWidth="1"/>
    <col min="1047" max="1047" width="7.7109375" style="1" bestFit="1" customWidth="1"/>
    <col min="1048" max="1048" width="21.42578125" style="1" bestFit="1" customWidth="1"/>
    <col min="1049" max="1280" width="9.140625" style="1"/>
    <col min="1281" max="1281" width="25.140625" style="1" customWidth="1"/>
    <col min="1282" max="1282" width="21.85546875" style="1" customWidth="1"/>
    <col min="1283" max="1283" width="22.42578125" style="1" bestFit="1" customWidth="1"/>
    <col min="1284" max="1284" width="17.85546875" style="1" bestFit="1" customWidth="1"/>
    <col min="1285" max="1285" width="19.42578125" style="1" customWidth="1"/>
    <col min="1286" max="1286" width="18.7109375" style="1" bestFit="1" customWidth="1"/>
    <col min="1287" max="1287" width="21" style="1" customWidth="1"/>
    <col min="1288" max="1288" width="20" style="1" bestFit="1" customWidth="1"/>
    <col min="1289" max="1289" width="20.85546875" style="1" bestFit="1" customWidth="1"/>
    <col min="1290" max="1290" width="13.7109375" style="1" customWidth="1"/>
    <col min="1291" max="1292" width="17.7109375" style="1" bestFit="1" customWidth="1"/>
    <col min="1293" max="1293" width="16" style="1" bestFit="1" customWidth="1"/>
    <col min="1294" max="1294" width="21.42578125" style="1" bestFit="1" customWidth="1"/>
    <col min="1295" max="1295" width="23.28515625" style="1" customWidth="1"/>
    <col min="1296" max="1296" width="16" style="1" bestFit="1" customWidth="1"/>
    <col min="1297" max="1298" width="9.140625" style="1"/>
    <col min="1299" max="1299" width="23.42578125" style="1" bestFit="1" customWidth="1"/>
    <col min="1300" max="1300" width="12.5703125" style="1" bestFit="1" customWidth="1"/>
    <col min="1301" max="1302" width="21" style="1" bestFit="1" customWidth="1"/>
    <col min="1303" max="1303" width="7.7109375" style="1" bestFit="1" customWidth="1"/>
    <col min="1304" max="1304" width="21.42578125" style="1" bestFit="1" customWidth="1"/>
    <col min="1305" max="1536" width="9.140625" style="1"/>
    <col min="1537" max="1537" width="25.140625" style="1" customWidth="1"/>
    <col min="1538" max="1538" width="21.85546875" style="1" customWidth="1"/>
    <col min="1539" max="1539" width="22.42578125" style="1" bestFit="1" customWidth="1"/>
    <col min="1540" max="1540" width="17.85546875" style="1" bestFit="1" customWidth="1"/>
    <col min="1541" max="1541" width="19.42578125" style="1" customWidth="1"/>
    <col min="1542" max="1542" width="18.7109375" style="1" bestFit="1" customWidth="1"/>
    <col min="1543" max="1543" width="21" style="1" customWidth="1"/>
    <col min="1544" max="1544" width="20" style="1" bestFit="1" customWidth="1"/>
    <col min="1545" max="1545" width="20.85546875" style="1" bestFit="1" customWidth="1"/>
    <col min="1546" max="1546" width="13.7109375" style="1" customWidth="1"/>
    <col min="1547" max="1548" width="17.7109375" style="1" bestFit="1" customWidth="1"/>
    <col min="1549" max="1549" width="16" style="1" bestFit="1" customWidth="1"/>
    <col min="1550" max="1550" width="21.42578125" style="1" bestFit="1" customWidth="1"/>
    <col min="1551" max="1551" width="23.28515625" style="1" customWidth="1"/>
    <col min="1552" max="1552" width="16" style="1" bestFit="1" customWidth="1"/>
    <col min="1553" max="1554" width="9.140625" style="1"/>
    <col min="1555" max="1555" width="23.42578125" style="1" bestFit="1" customWidth="1"/>
    <col min="1556" max="1556" width="12.5703125" style="1" bestFit="1" customWidth="1"/>
    <col min="1557" max="1558" width="21" style="1" bestFit="1" customWidth="1"/>
    <col min="1559" max="1559" width="7.7109375" style="1" bestFit="1" customWidth="1"/>
    <col min="1560" max="1560" width="21.42578125" style="1" bestFit="1" customWidth="1"/>
    <col min="1561" max="1792" width="9.140625" style="1"/>
    <col min="1793" max="1793" width="25.140625" style="1" customWidth="1"/>
    <col min="1794" max="1794" width="21.85546875" style="1" customWidth="1"/>
    <col min="1795" max="1795" width="22.42578125" style="1" bestFit="1" customWidth="1"/>
    <col min="1796" max="1796" width="17.85546875" style="1" bestFit="1" customWidth="1"/>
    <col min="1797" max="1797" width="19.42578125" style="1" customWidth="1"/>
    <col min="1798" max="1798" width="18.7109375" style="1" bestFit="1" customWidth="1"/>
    <col min="1799" max="1799" width="21" style="1" customWidth="1"/>
    <col min="1800" max="1800" width="20" style="1" bestFit="1" customWidth="1"/>
    <col min="1801" max="1801" width="20.85546875" style="1" bestFit="1" customWidth="1"/>
    <col min="1802" max="1802" width="13.7109375" style="1" customWidth="1"/>
    <col min="1803" max="1804" width="17.7109375" style="1" bestFit="1" customWidth="1"/>
    <col min="1805" max="1805" width="16" style="1" bestFit="1" customWidth="1"/>
    <col min="1806" max="1806" width="21.42578125" style="1" bestFit="1" customWidth="1"/>
    <col min="1807" max="1807" width="23.28515625" style="1" customWidth="1"/>
    <col min="1808" max="1808" width="16" style="1" bestFit="1" customWidth="1"/>
    <col min="1809" max="1810" width="9.140625" style="1"/>
    <col min="1811" max="1811" width="23.42578125" style="1" bestFit="1" customWidth="1"/>
    <col min="1812" max="1812" width="12.5703125" style="1" bestFit="1" customWidth="1"/>
    <col min="1813" max="1814" width="21" style="1" bestFit="1" customWidth="1"/>
    <col min="1815" max="1815" width="7.7109375" style="1" bestFit="1" customWidth="1"/>
    <col min="1816" max="1816" width="21.42578125" style="1" bestFit="1" customWidth="1"/>
    <col min="1817" max="2048" width="9.140625" style="1"/>
    <col min="2049" max="2049" width="25.140625" style="1" customWidth="1"/>
    <col min="2050" max="2050" width="21.85546875" style="1" customWidth="1"/>
    <col min="2051" max="2051" width="22.42578125" style="1" bestFit="1" customWidth="1"/>
    <col min="2052" max="2052" width="17.85546875" style="1" bestFit="1" customWidth="1"/>
    <col min="2053" max="2053" width="19.42578125" style="1" customWidth="1"/>
    <col min="2054" max="2054" width="18.7109375" style="1" bestFit="1" customWidth="1"/>
    <col min="2055" max="2055" width="21" style="1" customWidth="1"/>
    <col min="2056" max="2056" width="20" style="1" bestFit="1" customWidth="1"/>
    <col min="2057" max="2057" width="20.85546875" style="1" bestFit="1" customWidth="1"/>
    <col min="2058" max="2058" width="13.7109375" style="1" customWidth="1"/>
    <col min="2059" max="2060" width="17.7109375" style="1" bestFit="1" customWidth="1"/>
    <col min="2061" max="2061" width="16" style="1" bestFit="1" customWidth="1"/>
    <col min="2062" max="2062" width="21.42578125" style="1" bestFit="1" customWidth="1"/>
    <col min="2063" max="2063" width="23.28515625" style="1" customWidth="1"/>
    <col min="2064" max="2064" width="16" style="1" bestFit="1" customWidth="1"/>
    <col min="2065" max="2066" width="9.140625" style="1"/>
    <col min="2067" max="2067" width="23.42578125" style="1" bestFit="1" customWidth="1"/>
    <col min="2068" max="2068" width="12.5703125" style="1" bestFit="1" customWidth="1"/>
    <col min="2069" max="2070" width="21" style="1" bestFit="1" customWidth="1"/>
    <col min="2071" max="2071" width="7.7109375" style="1" bestFit="1" customWidth="1"/>
    <col min="2072" max="2072" width="21.42578125" style="1" bestFit="1" customWidth="1"/>
    <col min="2073" max="2304" width="9.140625" style="1"/>
    <col min="2305" max="2305" width="25.140625" style="1" customWidth="1"/>
    <col min="2306" max="2306" width="21.85546875" style="1" customWidth="1"/>
    <col min="2307" max="2307" width="22.42578125" style="1" bestFit="1" customWidth="1"/>
    <col min="2308" max="2308" width="17.85546875" style="1" bestFit="1" customWidth="1"/>
    <col min="2309" max="2309" width="19.42578125" style="1" customWidth="1"/>
    <col min="2310" max="2310" width="18.7109375" style="1" bestFit="1" customWidth="1"/>
    <col min="2311" max="2311" width="21" style="1" customWidth="1"/>
    <col min="2312" max="2312" width="20" style="1" bestFit="1" customWidth="1"/>
    <col min="2313" max="2313" width="20.85546875" style="1" bestFit="1" customWidth="1"/>
    <col min="2314" max="2314" width="13.7109375" style="1" customWidth="1"/>
    <col min="2315" max="2316" width="17.7109375" style="1" bestFit="1" customWidth="1"/>
    <col min="2317" max="2317" width="16" style="1" bestFit="1" customWidth="1"/>
    <col min="2318" max="2318" width="21.42578125" style="1" bestFit="1" customWidth="1"/>
    <col min="2319" max="2319" width="23.28515625" style="1" customWidth="1"/>
    <col min="2320" max="2320" width="16" style="1" bestFit="1" customWidth="1"/>
    <col min="2321" max="2322" width="9.140625" style="1"/>
    <col min="2323" max="2323" width="23.42578125" style="1" bestFit="1" customWidth="1"/>
    <col min="2324" max="2324" width="12.5703125" style="1" bestFit="1" customWidth="1"/>
    <col min="2325" max="2326" width="21" style="1" bestFit="1" customWidth="1"/>
    <col min="2327" max="2327" width="7.7109375" style="1" bestFit="1" customWidth="1"/>
    <col min="2328" max="2328" width="21.42578125" style="1" bestFit="1" customWidth="1"/>
    <col min="2329" max="2560" width="9.140625" style="1"/>
    <col min="2561" max="2561" width="25.140625" style="1" customWidth="1"/>
    <col min="2562" max="2562" width="21.85546875" style="1" customWidth="1"/>
    <col min="2563" max="2563" width="22.42578125" style="1" bestFit="1" customWidth="1"/>
    <col min="2564" max="2564" width="17.85546875" style="1" bestFit="1" customWidth="1"/>
    <col min="2565" max="2565" width="19.42578125" style="1" customWidth="1"/>
    <col min="2566" max="2566" width="18.7109375" style="1" bestFit="1" customWidth="1"/>
    <col min="2567" max="2567" width="21" style="1" customWidth="1"/>
    <col min="2568" max="2568" width="20" style="1" bestFit="1" customWidth="1"/>
    <col min="2569" max="2569" width="20.85546875" style="1" bestFit="1" customWidth="1"/>
    <col min="2570" max="2570" width="13.7109375" style="1" customWidth="1"/>
    <col min="2571" max="2572" width="17.7109375" style="1" bestFit="1" customWidth="1"/>
    <col min="2573" max="2573" width="16" style="1" bestFit="1" customWidth="1"/>
    <col min="2574" max="2574" width="21.42578125" style="1" bestFit="1" customWidth="1"/>
    <col min="2575" max="2575" width="23.28515625" style="1" customWidth="1"/>
    <col min="2576" max="2576" width="16" style="1" bestFit="1" customWidth="1"/>
    <col min="2577" max="2578" width="9.140625" style="1"/>
    <col min="2579" max="2579" width="23.42578125" style="1" bestFit="1" customWidth="1"/>
    <col min="2580" max="2580" width="12.5703125" style="1" bestFit="1" customWidth="1"/>
    <col min="2581" max="2582" width="21" style="1" bestFit="1" customWidth="1"/>
    <col min="2583" max="2583" width="7.7109375" style="1" bestFit="1" customWidth="1"/>
    <col min="2584" max="2584" width="21.42578125" style="1" bestFit="1" customWidth="1"/>
    <col min="2585" max="2816" width="9.140625" style="1"/>
    <col min="2817" max="2817" width="25.140625" style="1" customWidth="1"/>
    <col min="2818" max="2818" width="21.85546875" style="1" customWidth="1"/>
    <col min="2819" max="2819" width="22.42578125" style="1" bestFit="1" customWidth="1"/>
    <col min="2820" max="2820" width="17.85546875" style="1" bestFit="1" customWidth="1"/>
    <col min="2821" max="2821" width="19.42578125" style="1" customWidth="1"/>
    <col min="2822" max="2822" width="18.7109375" style="1" bestFit="1" customWidth="1"/>
    <col min="2823" max="2823" width="21" style="1" customWidth="1"/>
    <col min="2824" max="2824" width="20" style="1" bestFit="1" customWidth="1"/>
    <col min="2825" max="2825" width="20.85546875" style="1" bestFit="1" customWidth="1"/>
    <col min="2826" max="2826" width="13.7109375" style="1" customWidth="1"/>
    <col min="2827" max="2828" width="17.7109375" style="1" bestFit="1" customWidth="1"/>
    <col min="2829" max="2829" width="16" style="1" bestFit="1" customWidth="1"/>
    <col min="2830" max="2830" width="21.42578125" style="1" bestFit="1" customWidth="1"/>
    <col min="2831" max="2831" width="23.28515625" style="1" customWidth="1"/>
    <col min="2832" max="2832" width="16" style="1" bestFit="1" customWidth="1"/>
    <col min="2833" max="2834" width="9.140625" style="1"/>
    <col min="2835" max="2835" width="23.42578125" style="1" bestFit="1" customWidth="1"/>
    <col min="2836" max="2836" width="12.5703125" style="1" bestFit="1" customWidth="1"/>
    <col min="2837" max="2838" width="21" style="1" bestFit="1" customWidth="1"/>
    <col min="2839" max="2839" width="7.7109375" style="1" bestFit="1" customWidth="1"/>
    <col min="2840" max="2840" width="21.42578125" style="1" bestFit="1" customWidth="1"/>
    <col min="2841" max="3072" width="9.140625" style="1"/>
    <col min="3073" max="3073" width="25.140625" style="1" customWidth="1"/>
    <col min="3074" max="3074" width="21.85546875" style="1" customWidth="1"/>
    <col min="3075" max="3075" width="22.42578125" style="1" bestFit="1" customWidth="1"/>
    <col min="3076" max="3076" width="17.85546875" style="1" bestFit="1" customWidth="1"/>
    <col min="3077" max="3077" width="19.42578125" style="1" customWidth="1"/>
    <col min="3078" max="3078" width="18.7109375" style="1" bestFit="1" customWidth="1"/>
    <col min="3079" max="3079" width="21" style="1" customWidth="1"/>
    <col min="3080" max="3080" width="20" style="1" bestFit="1" customWidth="1"/>
    <col min="3081" max="3081" width="20.85546875" style="1" bestFit="1" customWidth="1"/>
    <col min="3082" max="3082" width="13.7109375" style="1" customWidth="1"/>
    <col min="3083" max="3084" width="17.7109375" style="1" bestFit="1" customWidth="1"/>
    <col min="3085" max="3085" width="16" style="1" bestFit="1" customWidth="1"/>
    <col min="3086" max="3086" width="21.42578125" style="1" bestFit="1" customWidth="1"/>
    <col min="3087" max="3087" width="23.28515625" style="1" customWidth="1"/>
    <col min="3088" max="3088" width="16" style="1" bestFit="1" customWidth="1"/>
    <col min="3089" max="3090" width="9.140625" style="1"/>
    <col min="3091" max="3091" width="23.42578125" style="1" bestFit="1" customWidth="1"/>
    <col min="3092" max="3092" width="12.5703125" style="1" bestFit="1" customWidth="1"/>
    <col min="3093" max="3094" width="21" style="1" bestFit="1" customWidth="1"/>
    <col min="3095" max="3095" width="7.7109375" style="1" bestFit="1" customWidth="1"/>
    <col min="3096" max="3096" width="21.42578125" style="1" bestFit="1" customWidth="1"/>
    <col min="3097" max="3328" width="9.140625" style="1"/>
    <col min="3329" max="3329" width="25.140625" style="1" customWidth="1"/>
    <col min="3330" max="3330" width="21.85546875" style="1" customWidth="1"/>
    <col min="3331" max="3331" width="22.42578125" style="1" bestFit="1" customWidth="1"/>
    <col min="3332" max="3332" width="17.85546875" style="1" bestFit="1" customWidth="1"/>
    <col min="3333" max="3333" width="19.42578125" style="1" customWidth="1"/>
    <col min="3334" max="3334" width="18.7109375" style="1" bestFit="1" customWidth="1"/>
    <col min="3335" max="3335" width="21" style="1" customWidth="1"/>
    <col min="3336" max="3336" width="20" style="1" bestFit="1" customWidth="1"/>
    <col min="3337" max="3337" width="20.85546875" style="1" bestFit="1" customWidth="1"/>
    <col min="3338" max="3338" width="13.7109375" style="1" customWidth="1"/>
    <col min="3339" max="3340" width="17.7109375" style="1" bestFit="1" customWidth="1"/>
    <col min="3341" max="3341" width="16" style="1" bestFit="1" customWidth="1"/>
    <col min="3342" max="3342" width="21.42578125" style="1" bestFit="1" customWidth="1"/>
    <col min="3343" max="3343" width="23.28515625" style="1" customWidth="1"/>
    <col min="3344" max="3344" width="16" style="1" bestFit="1" customWidth="1"/>
    <col min="3345" max="3346" width="9.140625" style="1"/>
    <col min="3347" max="3347" width="23.42578125" style="1" bestFit="1" customWidth="1"/>
    <col min="3348" max="3348" width="12.5703125" style="1" bestFit="1" customWidth="1"/>
    <col min="3349" max="3350" width="21" style="1" bestFit="1" customWidth="1"/>
    <col min="3351" max="3351" width="7.7109375" style="1" bestFit="1" customWidth="1"/>
    <col min="3352" max="3352" width="21.42578125" style="1" bestFit="1" customWidth="1"/>
    <col min="3353" max="3584" width="9.140625" style="1"/>
    <col min="3585" max="3585" width="25.140625" style="1" customWidth="1"/>
    <col min="3586" max="3586" width="21.85546875" style="1" customWidth="1"/>
    <col min="3587" max="3587" width="22.42578125" style="1" bestFit="1" customWidth="1"/>
    <col min="3588" max="3588" width="17.85546875" style="1" bestFit="1" customWidth="1"/>
    <col min="3589" max="3589" width="19.42578125" style="1" customWidth="1"/>
    <col min="3590" max="3590" width="18.7109375" style="1" bestFit="1" customWidth="1"/>
    <col min="3591" max="3591" width="21" style="1" customWidth="1"/>
    <col min="3592" max="3592" width="20" style="1" bestFit="1" customWidth="1"/>
    <col min="3593" max="3593" width="20.85546875" style="1" bestFit="1" customWidth="1"/>
    <col min="3594" max="3594" width="13.7109375" style="1" customWidth="1"/>
    <col min="3595" max="3596" width="17.7109375" style="1" bestFit="1" customWidth="1"/>
    <col min="3597" max="3597" width="16" style="1" bestFit="1" customWidth="1"/>
    <col min="3598" max="3598" width="21.42578125" style="1" bestFit="1" customWidth="1"/>
    <col min="3599" max="3599" width="23.28515625" style="1" customWidth="1"/>
    <col min="3600" max="3600" width="16" style="1" bestFit="1" customWidth="1"/>
    <col min="3601" max="3602" width="9.140625" style="1"/>
    <col min="3603" max="3603" width="23.42578125" style="1" bestFit="1" customWidth="1"/>
    <col min="3604" max="3604" width="12.5703125" style="1" bestFit="1" customWidth="1"/>
    <col min="3605" max="3606" width="21" style="1" bestFit="1" customWidth="1"/>
    <col min="3607" max="3607" width="7.7109375" style="1" bestFit="1" customWidth="1"/>
    <col min="3608" max="3608" width="21.42578125" style="1" bestFit="1" customWidth="1"/>
    <col min="3609" max="3840" width="9.140625" style="1"/>
    <col min="3841" max="3841" width="25.140625" style="1" customWidth="1"/>
    <col min="3842" max="3842" width="21.85546875" style="1" customWidth="1"/>
    <col min="3843" max="3843" width="22.42578125" style="1" bestFit="1" customWidth="1"/>
    <col min="3844" max="3844" width="17.85546875" style="1" bestFit="1" customWidth="1"/>
    <col min="3845" max="3845" width="19.42578125" style="1" customWidth="1"/>
    <col min="3846" max="3846" width="18.7109375" style="1" bestFit="1" customWidth="1"/>
    <col min="3847" max="3847" width="21" style="1" customWidth="1"/>
    <col min="3848" max="3848" width="20" style="1" bestFit="1" customWidth="1"/>
    <col min="3849" max="3849" width="20.85546875" style="1" bestFit="1" customWidth="1"/>
    <col min="3850" max="3850" width="13.7109375" style="1" customWidth="1"/>
    <col min="3851" max="3852" width="17.7109375" style="1" bestFit="1" customWidth="1"/>
    <col min="3853" max="3853" width="16" style="1" bestFit="1" customWidth="1"/>
    <col min="3854" max="3854" width="21.42578125" style="1" bestFit="1" customWidth="1"/>
    <col min="3855" max="3855" width="23.28515625" style="1" customWidth="1"/>
    <col min="3856" max="3856" width="16" style="1" bestFit="1" customWidth="1"/>
    <col min="3857" max="3858" width="9.140625" style="1"/>
    <col min="3859" max="3859" width="23.42578125" style="1" bestFit="1" customWidth="1"/>
    <col min="3860" max="3860" width="12.5703125" style="1" bestFit="1" customWidth="1"/>
    <col min="3861" max="3862" width="21" style="1" bestFit="1" customWidth="1"/>
    <col min="3863" max="3863" width="7.7109375" style="1" bestFit="1" customWidth="1"/>
    <col min="3864" max="3864" width="21.42578125" style="1" bestFit="1" customWidth="1"/>
    <col min="3865" max="4096" width="9.140625" style="1"/>
    <col min="4097" max="4097" width="25.140625" style="1" customWidth="1"/>
    <col min="4098" max="4098" width="21.85546875" style="1" customWidth="1"/>
    <col min="4099" max="4099" width="22.42578125" style="1" bestFit="1" customWidth="1"/>
    <col min="4100" max="4100" width="17.85546875" style="1" bestFit="1" customWidth="1"/>
    <col min="4101" max="4101" width="19.42578125" style="1" customWidth="1"/>
    <col min="4102" max="4102" width="18.7109375" style="1" bestFit="1" customWidth="1"/>
    <col min="4103" max="4103" width="21" style="1" customWidth="1"/>
    <col min="4104" max="4104" width="20" style="1" bestFit="1" customWidth="1"/>
    <col min="4105" max="4105" width="20.85546875" style="1" bestFit="1" customWidth="1"/>
    <col min="4106" max="4106" width="13.7109375" style="1" customWidth="1"/>
    <col min="4107" max="4108" width="17.7109375" style="1" bestFit="1" customWidth="1"/>
    <col min="4109" max="4109" width="16" style="1" bestFit="1" customWidth="1"/>
    <col min="4110" max="4110" width="21.42578125" style="1" bestFit="1" customWidth="1"/>
    <col min="4111" max="4111" width="23.28515625" style="1" customWidth="1"/>
    <col min="4112" max="4112" width="16" style="1" bestFit="1" customWidth="1"/>
    <col min="4113" max="4114" width="9.140625" style="1"/>
    <col min="4115" max="4115" width="23.42578125" style="1" bestFit="1" customWidth="1"/>
    <col min="4116" max="4116" width="12.5703125" style="1" bestFit="1" customWidth="1"/>
    <col min="4117" max="4118" width="21" style="1" bestFit="1" customWidth="1"/>
    <col min="4119" max="4119" width="7.7109375" style="1" bestFit="1" customWidth="1"/>
    <col min="4120" max="4120" width="21.42578125" style="1" bestFit="1" customWidth="1"/>
    <col min="4121" max="4352" width="9.140625" style="1"/>
    <col min="4353" max="4353" width="25.140625" style="1" customWidth="1"/>
    <col min="4354" max="4354" width="21.85546875" style="1" customWidth="1"/>
    <col min="4355" max="4355" width="22.42578125" style="1" bestFit="1" customWidth="1"/>
    <col min="4356" max="4356" width="17.85546875" style="1" bestFit="1" customWidth="1"/>
    <col min="4357" max="4357" width="19.42578125" style="1" customWidth="1"/>
    <col min="4358" max="4358" width="18.7109375" style="1" bestFit="1" customWidth="1"/>
    <col min="4359" max="4359" width="21" style="1" customWidth="1"/>
    <col min="4360" max="4360" width="20" style="1" bestFit="1" customWidth="1"/>
    <col min="4361" max="4361" width="20.85546875" style="1" bestFit="1" customWidth="1"/>
    <col min="4362" max="4362" width="13.7109375" style="1" customWidth="1"/>
    <col min="4363" max="4364" width="17.7109375" style="1" bestFit="1" customWidth="1"/>
    <col min="4365" max="4365" width="16" style="1" bestFit="1" customWidth="1"/>
    <col min="4366" max="4366" width="21.42578125" style="1" bestFit="1" customWidth="1"/>
    <col min="4367" max="4367" width="23.28515625" style="1" customWidth="1"/>
    <col min="4368" max="4368" width="16" style="1" bestFit="1" customWidth="1"/>
    <col min="4369" max="4370" width="9.140625" style="1"/>
    <col min="4371" max="4371" width="23.42578125" style="1" bestFit="1" customWidth="1"/>
    <col min="4372" max="4372" width="12.5703125" style="1" bestFit="1" customWidth="1"/>
    <col min="4373" max="4374" width="21" style="1" bestFit="1" customWidth="1"/>
    <col min="4375" max="4375" width="7.7109375" style="1" bestFit="1" customWidth="1"/>
    <col min="4376" max="4376" width="21.42578125" style="1" bestFit="1" customWidth="1"/>
    <col min="4377" max="4608" width="9.140625" style="1"/>
    <col min="4609" max="4609" width="25.140625" style="1" customWidth="1"/>
    <col min="4610" max="4610" width="21.85546875" style="1" customWidth="1"/>
    <col min="4611" max="4611" width="22.42578125" style="1" bestFit="1" customWidth="1"/>
    <col min="4612" max="4612" width="17.85546875" style="1" bestFit="1" customWidth="1"/>
    <col min="4613" max="4613" width="19.42578125" style="1" customWidth="1"/>
    <col min="4614" max="4614" width="18.7109375" style="1" bestFit="1" customWidth="1"/>
    <col min="4615" max="4615" width="21" style="1" customWidth="1"/>
    <col min="4616" max="4616" width="20" style="1" bestFit="1" customWidth="1"/>
    <col min="4617" max="4617" width="20.85546875" style="1" bestFit="1" customWidth="1"/>
    <col min="4618" max="4618" width="13.7109375" style="1" customWidth="1"/>
    <col min="4619" max="4620" width="17.7109375" style="1" bestFit="1" customWidth="1"/>
    <col min="4621" max="4621" width="16" style="1" bestFit="1" customWidth="1"/>
    <col min="4622" max="4622" width="21.42578125" style="1" bestFit="1" customWidth="1"/>
    <col min="4623" max="4623" width="23.28515625" style="1" customWidth="1"/>
    <col min="4624" max="4624" width="16" style="1" bestFit="1" customWidth="1"/>
    <col min="4625" max="4626" width="9.140625" style="1"/>
    <col min="4627" max="4627" width="23.42578125" style="1" bestFit="1" customWidth="1"/>
    <col min="4628" max="4628" width="12.5703125" style="1" bestFit="1" customWidth="1"/>
    <col min="4629" max="4630" width="21" style="1" bestFit="1" customWidth="1"/>
    <col min="4631" max="4631" width="7.7109375" style="1" bestFit="1" customWidth="1"/>
    <col min="4632" max="4632" width="21.42578125" style="1" bestFit="1" customWidth="1"/>
    <col min="4633" max="4864" width="9.140625" style="1"/>
    <col min="4865" max="4865" width="25.140625" style="1" customWidth="1"/>
    <col min="4866" max="4866" width="21.85546875" style="1" customWidth="1"/>
    <col min="4867" max="4867" width="22.42578125" style="1" bestFit="1" customWidth="1"/>
    <col min="4868" max="4868" width="17.85546875" style="1" bestFit="1" customWidth="1"/>
    <col min="4869" max="4869" width="19.42578125" style="1" customWidth="1"/>
    <col min="4870" max="4870" width="18.7109375" style="1" bestFit="1" customWidth="1"/>
    <col min="4871" max="4871" width="21" style="1" customWidth="1"/>
    <col min="4872" max="4872" width="20" style="1" bestFit="1" customWidth="1"/>
    <col min="4873" max="4873" width="20.85546875" style="1" bestFit="1" customWidth="1"/>
    <col min="4874" max="4874" width="13.7109375" style="1" customWidth="1"/>
    <col min="4875" max="4876" width="17.7109375" style="1" bestFit="1" customWidth="1"/>
    <col min="4877" max="4877" width="16" style="1" bestFit="1" customWidth="1"/>
    <col min="4878" max="4878" width="21.42578125" style="1" bestFit="1" customWidth="1"/>
    <col min="4879" max="4879" width="23.28515625" style="1" customWidth="1"/>
    <col min="4880" max="4880" width="16" style="1" bestFit="1" customWidth="1"/>
    <col min="4881" max="4882" width="9.140625" style="1"/>
    <col min="4883" max="4883" width="23.42578125" style="1" bestFit="1" customWidth="1"/>
    <col min="4884" max="4884" width="12.5703125" style="1" bestFit="1" customWidth="1"/>
    <col min="4885" max="4886" width="21" style="1" bestFit="1" customWidth="1"/>
    <col min="4887" max="4887" width="7.7109375" style="1" bestFit="1" customWidth="1"/>
    <col min="4888" max="4888" width="21.42578125" style="1" bestFit="1" customWidth="1"/>
    <col min="4889" max="5120" width="9.140625" style="1"/>
    <col min="5121" max="5121" width="25.140625" style="1" customWidth="1"/>
    <col min="5122" max="5122" width="21.85546875" style="1" customWidth="1"/>
    <col min="5123" max="5123" width="22.42578125" style="1" bestFit="1" customWidth="1"/>
    <col min="5124" max="5124" width="17.85546875" style="1" bestFit="1" customWidth="1"/>
    <col min="5125" max="5125" width="19.42578125" style="1" customWidth="1"/>
    <col min="5126" max="5126" width="18.7109375" style="1" bestFit="1" customWidth="1"/>
    <col min="5127" max="5127" width="21" style="1" customWidth="1"/>
    <col min="5128" max="5128" width="20" style="1" bestFit="1" customWidth="1"/>
    <col min="5129" max="5129" width="20.85546875" style="1" bestFit="1" customWidth="1"/>
    <col min="5130" max="5130" width="13.7109375" style="1" customWidth="1"/>
    <col min="5131" max="5132" width="17.7109375" style="1" bestFit="1" customWidth="1"/>
    <col min="5133" max="5133" width="16" style="1" bestFit="1" customWidth="1"/>
    <col min="5134" max="5134" width="21.42578125" style="1" bestFit="1" customWidth="1"/>
    <col min="5135" max="5135" width="23.28515625" style="1" customWidth="1"/>
    <col min="5136" max="5136" width="16" style="1" bestFit="1" customWidth="1"/>
    <col min="5137" max="5138" width="9.140625" style="1"/>
    <col min="5139" max="5139" width="23.42578125" style="1" bestFit="1" customWidth="1"/>
    <col min="5140" max="5140" width="12.5703125" style="1" bestFit="1" customWidth="1"/>
    <col min="5141" max="5142" width="21" style="1" bestFit="1" customWidth="1"/>
    <col min="5143" max="5143" width="7.7109375" style="1" bestFit="1" customWidth="1"/>
    <col min="5144" max="5144" width="21.42578125" style="1" bestFit="1" customWidth="1"/>
    <col min="5145" max="5376" width="9.140625" style="1"/>
    <col min="5377" max="5377" width="25.140625" style="1" customWidth="1"/>
    <col min="5378" max="5378" width="21.85546875" style="1" customWidth="1"/>
    <col min="5379" max="5379" width="22.42578125" style="1" bestFit="1" customWidth="1"/>
    <col min="5380" max="5380" width="17.85546875" style="1" bestFit="1" customWidth="1"/>
    <col min="5381" max="5381" width="19.42578125" style="1" customWidth="1"/>
    <col min="5382" max="5382" width="18.7109375" style="1" bestFit="1" customWidth="1"/>
    <col min="5383" max="5383" width="21" style="1" customWidth="1"/>
    <col min="5384" max="5384" width="20" style="1" bestFit="1" customWidth="1"/>
    <col min="5385" max="5385" width="20.85546875" style="1" bestFit="1" customWidth="1"/>
    <col min="5386" max="5386" width="13.7109375" style="1" customWidth="1"/>
    <col min="5387" max="5388" width="17.7109375" style="1" bestFit="1" customWidth="1"/>
    <col min="5389" max="5389" width="16" style="1" bestFit="1" customWidth="1"/>
    <col min="5390" max="5390" width="21.42578125" style="1" bestFit="1" customWidth="1"/>
    <col min="5391" max="5391" width="23.28515625" style="1" customWidth="1"/>
    <col min="5392" max="5392" width="16" style="1" bestFit="1" customWidth="1"/>
    <col min="5393" max="5394" width="9.140625" style="1"/>
    <col min="5395" max="5395" width="23.42578125" style="1" bestFit="1" customWidth="1"/>
    <col min="5396" max="5396" width="12.5703125" style="1" bestFit="1" customWidth="1"/>
    <col min="5397" max="5398" width="21" style="1" bestFit="1" customWidth="1"/>
    <col min="5399" max="5399" width="7.7109375" style="1" bestFit="1" customWidth="1"/>
    <col min="5400" max="5400" width="21.42578125" style="1" bestFit="1" customWidth="1"/>
    <col min="5401" max="5632" width="9.140625" style="1"/>
    <col min="5633" max="5633" width="25.140625" style="1" customWidth="1"/>
    <col min="5634" max="5634" width="21.85546875" style="1" customWidth="1"/>
    <col min="5635" max="5635" width="22.42578125" style="1" bestFit="1" customWidth="1"/>
    <col min="5636" max="5636" width="17.85546875" style="1" bestFit="1" customWidth="1"/>
    <col min="5637" max="5637" width="19.42578125" style="1" customWidth="1"/>
    <col min="5638" max="5638" width="18.7109375" style="1" bestFit="1" customWidth="1"/>
    <col min="5639" max="5639" width="21" style="1" customWidth="1"/>
    <col min="5640" max="5640" width="20" style="1" bestFit="1" customWidth="1"/>
    <col min="5641" max="5641" width="20.85546875" style="1" bestFit="1" customWidth="1"/>
    <col min="5642" max="5642" width="13.7109375" style="1" customWidth="1"/>
    <col min="5643" max="5644" width="17.7109375" style="1" bestFit="1" customWidth="1"/>
    <col min="5645" max="5645" width="16" style="1" bestFit="1" customWidth="1"/>
    <col min="5646" max="5646" width="21.42578125" style="1" bestFit="1" customWidth="1"/>
    <col min="5647" max="5647" width="23.28515625" style="1" customWidth="1"/>
    <col min="5648" max="5648" width="16" style="1" bestFit="1" customWidth="1"/>
    <col min="5649" max="5650" width="9.140625" style="1"/>
    <col min="5651" max="5651" width="23.42578125" style="1" bestFit="1" customWidth="1"/>
    <col min="5652" max="5652" width="12.5703125" style="1" bestFit="1" customWidth="1"/>
    <col min="5653" max="5654" width="21" style="1" bestFit="1" customWidth="1"/>
    <col min="5655" max="5655" width="7.7109375" style="1" bestFit="1" customWidth="1"/>
    <col min="5656" max="5656" width="21.42578125" style="1" bestFit="1" customWidth="1"/>
    <col min="5657" max="5888" width="9.140625" style="1"/>
    <col min="5889" max="5889" width="25.140625" style="1" customWidth="1"/>
    <col min="5890" max="5890" width="21.85546875" style="1" customWidth="1"/>
    <col min="5891" max="5891" width="22.42578125" style="1" bestFit="1" customWidth="1"/>
    <col min="5892" max="5892" width="17.85546875" style="1" bestFit="1" customWidth="1"/>
    <col min="5893" max="5893" width="19.42578125" style="1" customWidth="1"/>
    <col min="5894" max="5894" width="18.7109375" style="1" bestFit="1" customWidth="1"/>
    <col min="5895" max="5895" width="21" style="1" customWidth="1"/>
    <col min="5896" max="5896" width="20" style="1" bestFit="1" customWidth="1"/>
    <col min="5897" max="5897" width="20.85546875" style="1" bestFit="1" customWidth="1"/>
    <col min="5898" max="5898" width="13.7109375" style="1" customWidth="1"/>
    <col min="5899" max="5900" width="17.7109375" style="1" bestFit="1" customWidth="1"/>
    <col min="5901" max="5901" width="16" style="1" bestFit="1" customWidth="1"/>
    <col min="5902" max="5902" width="21.42578125" style="1" bestFit="1" customWidth="1"/>
    <col min="5903" max="5903" width="23.28515625" style="1" customWidth="1"/>
    <col min="5904" max="5904" width="16" style="1" bestFit="1" customWidth="1"/>
    <col min="5905" max="5906" width="9.140625" style="1"/>
    <col min="5907" max="5907" width="23.42578125" style="1" bestFit="1" customWidth="1"/>
    <col min="5908" max="5908" width="12.5703125" style="1" bestFit="1" customWidth="1"/>
    <col min="5909" max="5910" width="21" style="1" bestFit="1" customWidth="1"/>
    <col min="5911" max="5911" width="7.7109375" style="1" bestFit="1" customWidth="1"/>
    <col min="5912" max="5912" width="21.42578125" style="1" bestFit="1" customWidth="1"/>
    <col min="5913" max="6144" width="9.140625" style="1"/>
    <col min="6145" max="6145" width="25.140625" style="1" customWidth="1"/>
    <col min="6146" max="6146" width="21.85546875" style="1" customWidth="1"/>
    <col min="6147" max="6147" width="22.42578125" style="1" bestFit="1" customWidth="1"/>
    <col min="6148" max="6148" width="17.85546875" style="1" bestFit="1" customWidth="1"/>
    <col min="6149" max="6149" width="19.42578125" style="1" customWidth="1"/>
    <col min="6150" max="6150" width="18.7109375" style="1" bestFit="1" customWidth="1"/>
    <col min="6151" max="6151" width="21" style="1" customWidth="1"/>
    <col min="6152" max="6152" width="20" style="1" bestFit="1" customWidth="1"/>
    <col min="6153" max="6153" width="20.85546875" style="1" bestFit="1" customWidth="1"/>
    <col min="6154" max="6154" width="13.7109375" style="1" customWidth="1"/>
    <col min="6155" max="6156" width="17.7109375" style="1" bestFit="1" customWidth="1"/>
    <col min="6157" max="6157" width="16" style="1" bestFit="1" customWidth="1"/>
    <col min="6158" max="6158" width="21.42578125" style="1" bestFit="1" customWidth="1"/>
    <col min="6159" max="6159" width="23.28515625" style="1" customWidth="1"/>
    <col min="6160" max="6160" width="16" style="1" bestFit="1" customWidth="1"/>
    <col min="6161" max="6162" width="9.140625" style="1"/>
    <col min="6163" max="6163" width="23.42578125" style="1" bestFit="1" customWidth="1"/>
    <col min="6164" max="6164" width="12.5703125" style="1" bestFit="1" customWidth="1"/>
    <col min="6165" max="6166" width="21" style="1" bestFit="1" customWidth="1"/>
    <col min="6167" max="6167" width="7.7109375" style="1" bestFit="1" customWidth="1"/>
    <col min="6168" max="6168" width="21.42578125" style="1" bestFit="1" customWidth="1"/>
    <col min="6169" max="6400" width="9.140625" style="1"/>
    <col min="6401" max="6401" width="25.140625" style="1" customWidth="1"/>
    <col min="6402" max="6402" width="21.85546875" style="1" customWidth="1"/>
    <col min="6403" max="6403" width="22.42578125" style="1" bestFit="1" customWidth="1"/>
    <col min="6404" max="6404" width="17.85546875" style="1" bestFit="1" customWidth="1"/>
    <col min="6405" max="6405" width="19.42578125" style="1" customWidth="1"/>
    <col min="6406" max="6406" width="18.7109375" style="1" bestFit="1" customWidth="1"/>
    <col min="6407" max="6407" width="21" style="1" customWidth="1"/>
    <col min="6408" max="6408" width="20" style="1" bestFit="1" customWidth="1"/>
    <col min="6409" max="6409" width="20.85546875" style="1" bestFit="1" customWidth="1"/>
    <col min="6410" max="6410" width="13.7109375" style="1" customWidth="1"/>
    <col min="6411" max="6412" width="17.7109375" style="1" bestFit="1" customWidth="1"/>
    <col min="6413" max="6413" width="16" style="1" bestFit="1" customWidth="1"/>
    <col min="6414" max="6414" width="21.42578125" style="1" bestFit="1" customWidth="1"/>
    <col min="6415" max="6415" width="23.28515625" style="1" customWidth="1"/>
    <col min="6416" max="6416" width="16" style="1" bestFit="1" customWidth="1"/>
    <col min="6417" max="6418" width="9.140625" style="1"/>
    <col min="6419" max="6419" width="23.42578125" style="1" bestFit="1" customWidth="1"/>
    <col min="6420" max="6420" width="12.5703125" style="1" bestFit="1" customWidth="1"/>
    <col min="6421" max="6422" width="21" style="1" bestFit="1" customWidth="1"/>
    <col min="6423" max="6423" width="7.7109375" style="1" bestFit="1" customWidth="1"/>
    <col min="6424" max="6424" width="21.42578125" style="1" bestFit="1" customWidth="1"/>
    <col min="6425" max="6656" width="9.140625" style="1"/>
    <col min="6657" max="6657" width="25.140625" style="1" customWidth="1"/>
    <col min="6658" max="6658" width="21.85546875" style="1" customWidth="1"/>
    <col min="6659" max="6659" width="22.42578125" style="1" bestFit="1" customWidth="1"/>
    <col min="6660" max="6660" width="17.85546875" style="1" bestFit="1" customWidth="1"/>
    <col min="6661" max="6661" width="19.42578125" style="1" customWidth="1"/>
    <col min="6662" max="6662" width="18.7109375" style="1" bestFit="1" customWidth="1"/>
    <col min="6663" max="6663" width="21" style="1" customWidth="1"/>
    <col min="6664" max="6664" width="20" style="1" bestFit="1" customWidth="1"/>
    <col min="6665" max="6665" width="20.85546875" style="1" bestFit="1" customWidth="1"/>
    <col min="6666" max="6666" width="13.7109375" style="1" customWidth="1"/>
    <col min="6667" max="6668" width="17.7109375" style="1" bestFit="1" customWidth="1"/>
    <col min="6669" max="6669" width="16" style="1" bestFit="1" customWidth="1"/>
    <col min="6670" max="6670" width="21.42578125" style="1" bestFit="1" customWidth="1"/>
    <col min="6671" max="6671" width="23.28515625" style="1" customWidth="1"/>
    <col min="6672" max="6672" width="16" style="1" bestFit="1" customWidth="1"/>
    <col min="6673" max="6674" width="9.140625" style="1"/>
    <col min="6675" max="6675" width="23.42578125" style="1" bestFit="1" customWidth="1"/>
    <col min="6676" max="6676" width="12.5703125" style="1" bestFit="1" customWidth="1"/>
    <col min="6677" max="6678" width="21" style="1" bestFit="1" customWidth="1"/>
    <col min="6679" max="6679" width="7.7109375" style="1" bestFit="1" customWidth="1"/>
    <col min="6680" max="6680" width="21.42578125" style="1" bestFit="1" customWidth="1"/>
    <col min="6681" max="6912" width="9.140625" style="1"/>
    <col min="6913" max="6913" width="25.140625" style="1" customWidth="1"/>
    <col min="6914" max="6914" width="21.85546875" style="1" customWidth="1"/>
    <col min="6915" max="6915" width="22.42578125" style="1" bestFit="1" customWidth="1"/>
    <col min="6916" max="6916" width="17.85546875" style="1" bestFit="1" customWidth="1"/>
    <col min="6917" max="6917" width="19.42578125" style="1" customWidth="1"/>
    <col min="6918" max="6918" width="18.7109375" style="1" bestFit="1" customWidth="1"/>
    <col min="6919" max="6919" width="21" style="1" customWidth="1"/>
    <col min="6920" max="6920" width="20" style="1" bestFit="1" customWidth="1"/>
    <col min="6921" max="6921" width="20.85546875" style="1" bestFit="1" customWidth="1"/>
    <col min="6922" max="6922" width="13.7109375" style="1" customWidth="1"/>
    <col min="6923" max="6924" width="17.7109375" style="1" bestFit="1" customWidth="1"/>
    <col min="6925" max="6925" width="16" style="1" bestFit="1" customWidth="1"/>
    <col min="6926" max="6926" width="21.42578125" style="1" bestFit="1" customWidth="1"/>
    <col min="6927" max="6927" width="23.28515625" style="1" customWidth="1"/>
    <col min="6928" max="6928" width="16" style="1" bestFit="1" customWidth="1"/>
    <col min="6929" max="6930" width="9.140625" style="1"/>
    <col min="6931" max="6931" width="23.42578125" style="1" bestFit="1" customWidth="1"/>
    <col min="6932" max="6932" width="12.5703125" style="1" bestFit="1" customWidth="1"/>
    <col min="6933" max="6934" width="21" style="1" bestFit="1" customWidth="1"/>
    <col min="6935" max="6935" width="7.7109375" style="1" bestFit="1" customWidth="1"/>
    <col min="6936" max="6936" width="21.42578125" style="1" bestFit="1" customWidth="1"/>
    <col min="6937" max="7168" width="9.140625" style="1"/>
    <col min="7169" max="7169" width="25.140625" style="1" customWidth="1"/>
    <col min="7170" max="7170" width="21.85546875" style="1" customWidth="1"/>
    <col min="7171" max="7171" width="22.42578125" style="1" bestFit="1" customWidth="1"/>
    <col min="7172" max="7172" width="17.85546875" style="1" bestFit="1" customWidth="1"/>
    <col min="7173" max="7173" width="19.42578125" style="1" customWidth="1"/>
    <col min="7174" max="7174" width="18.7109375" style="1" bestFit="1" customWidth="1"/>
    <col min="7175" max="7175" width="21" style="1" customWidth="1"/>
    <col min="7176" max="7176" width="20" style="1" bestFit="1" customWidth="1"/>
    <col min="7177" max="7177" width="20.85546875" style="1" bestFit="1" customWidth="1"/>
    <col min="7178" max="7178" width="13.7109375" style="1" customWidth="1"/>
    <col min="7179" max="7180" width="17.7109375" style="1" bestFit="1" customWidth="1"/>
    <col min="7181" max="7181" width="16" style="1" bestFit="1" customWidth="1"/>
    <col min="7182" max="7182" width="21.42578125" style="1" bestFit="1" customWidth="1"/>
    <col min="7183" max="7183" width="23.28515625" style="1" customWidth="1"/>
    <col min="7184" max="7184" width="16" style="1" bestFit="1" customWidth="1"/>
    <col min="7185" max="7186" width="9.140625" style="1"/>
    <col min="7187" max="7187" width="23.42578125" style="1" bestFit="1" customWidth="1"/>
    <col min="7188" max="7188" width="12.5703125" style="1" bestFit="1" customWidth="1"/>
    <col min="7189" max="7190" width="21" style="1" bestFit="1" customWidth="1"/>
    <col min="7191" max="7191" width="7.7109375" style="1" bestFit="1" customWidth="1"/>
    <col min="7192" max="7192" width="21.42578125" style="1" bestFit="1" customWidth="1"/>
    <col min="7193" max="7424" width="9.140625" style="1"/>
    <col min="7425" max="7425" width="25.140625" style="1" customWidth="1"/>
    <col min="7426" max="7426" width="21.85546875" style="1" customWidth="1"/>
    <col min="7427" max="7427" width="22.42578125" style="1" bestFit="1" customWidth="1"/>
    <col min="7428" max="7428" width="17.85546875" style="1" bestFit="1" customWidth="1"/>
    <col min="7429" max="7429" width="19.42578125" style="1" customWidth="1"/>
    <col min="7430" max="7430" width="18.7109375" style="1" bestFit="1" customWidth="1"/>
    <col min="7431" max="7431" width="21" style="1" customWidth="1"/>
    <col min="7432" max="7432" width="20" style="1" bestFit="1" customWidth="1"/>
    <col min="7433" max="7433" width="20.85546875" style="1" bestFit="1" customWidth="1"/>
    <col min="7434" max="7434" width="13.7109375" style="1" customWidth="1"/>
    <col min="7435" max="7436" width="17.7109375" style="1" bestFit="1" customWidth="1"/>
    <col min="7437" max="7437" width="16" style="1" bestFit="1" customWidth="1"/>
    <col min="7438" max="7438" width="21.42578125" style="1" bestFit="1" customWidth="1"/>
    <col min="7439" max="7439" width="23.28515625" style="1" customWidth="1"/>
    <col min="7440" max="7440" width="16" style="1" bestFit="1" customWidth="1"/>
    <col min="7441" max="7442" width="9.140625" style="1"/>
    <col min="7443" max="7443" width="23.42578125" style="1" bestFit="1" customWidth="1"/>
    <col min="7444" max="7444" width="12.5703125" style="1" bestFit="1" customWidth="1"/>
    <col min="7445" max="7446" width="21" style="1" bestFit="1" customWidth="1"/>
    <col min="7447" max="7447" width="7.7109375" style="1" bestFit="1" customWidth="1"/>
    <col min="7448" max="7448" width="21.42578125" style="1" bestFit="1" customWidth="1"/>
    <col min="7449" max="7680" width="9.140625" style="1"/>
    <col min="7681" max="7681" width="25.140625" style="1" customWidth="1"/>
    <col min="7682" max="7682" width="21.85546875" style="1" customWidth="1"/>
    <col min="7683" max="7683" width="22.42578125" style="1" bestFit="1" customWidth="1"/>
    <col min="7684" max="7684" width="17.85546875" style="1" bestFit="1" customWidth="1"/>
    <col min="7685" max="7685" width="19.42578125" style="1" customWidth="1"/>
    <col min="7686" max="7686" width="18.7109375" style="1" bestFit="1" customWidth="1"/>
    <col min="7687" max="7687" width="21" style="1" customWidth="1"/>
    <col min="7688" max="7688" width="20" style="1" bestFit="1" customWidth="1"/>
    <col min="7689" max="7689" width="20.85546875" style="1" bestFit="1" customWidth="1"/>
    <col min="7690" max="7690" width="13.7109375" style="1" customWidth="1"/>
    <col min="7691" max="7692" width="17.7109375" style="1" bestFit="1" customWidth="1"/>
    <col min="7693" max="7693" width="16" style="1" bestFit="1" customWidth="1"/>
    <col min="7694" max="7694" width="21.42578125" style="1" bestFit="1" customWidth="1"/>
    <col min="7695" max="7695" width="23.28515625" style="1" customWidth="1"/>
    <col min="7696" max="7696" width="16" style="1" bestFit="1" customWidth="1"/>
    <col min="7697" max="7698" width="9.140625" style="1"/>
    <col min="7699" max="7699" width="23.42578125" style="1" bestFit="1" customWidth="1"/>
    <col min="7700" max="7700" width="12.5703125" style="1" bestFit="1" customWidth="1"/>
    <col min="7701" max="7702" width="21" style="1" bestFit="1" customWidth="1"/>
    <col min="7703" max="7703" width="7.7109375" style="1" bestFit="1" customWidth="1"/>
    <col min="7704" max="7704" width="21.42578125" style="1" bestFit="1" customWidth="1"/>
    <col min="7705" max="7936" width="9.140625" style="1"/>
    <col min="7937" max="7937" width="25.140625" style="1" customWidth="1"/>
    <col min="7938" max="7938" width="21.85546875" style="1" customWidth="1"/>
    <col min="7939" max="7939" width="22.42578125" style="1" bestFit="1" customWidth="1"/>
    <col min="7940" max="7940" width="17.85546875" style="1" bestFit="1" customWidth="1"/>
    <col min="7941" max="7941" width="19.42578125" style="1" customWidth="1"/>
    <col min="7942" max="7942" width="18.7109375" style="1" bestFit="1" customWidth="1"/>
    <col min="7943" max="7943" width="21" style="1" customWidth="1"/>
    <col min="7944" max="7944" width="20" style="1" bestFit="1" customWidth="1"/>
    <col min="7945" max="7945" width="20.85546875" style="1" bestFit="1" customWidth="1"/>
    <col min="7946" max="7946" width="13.7109375" style="1" customWidth="1"/>
    <col min="7947" max="7948" width="17.7109375" style="1" bestFit="1" customWidth="1"/>
    <col min="7949" max="7949" width="16" style="1" bestFit="1" customWidth="1"/>
    <col min="7950" max="7950" width="21.42578125" style="1" bestFit="1" customWidth="1"/>
    <col min="7951" max="7951" width="23.28515625" style="1" customWidth="1"/>
    <col min="7952" max="7952" width="16" style="1" bestFit="1" customWidth="1"/>
    <col min="7953" max="7954" width="9.140625" style="1"/>
    <col min="7955" max="7955" width="23.42578125" style="1" bestFit="1" customWidth="1"/>
    <col min="7956" max="7956" width="12.5703125" style="1" bestFit="1" customWidth="1"/>
    <col min="7957" max="7958" width="21" style="1" bestFit="1" customWidth="1"/>
    <col min="7959" max="7959" width="7.7109375" style="1" bestFit="1" customWidth="1"/>
    <col min="7960" max="7960" width="21.42578125" style="1" bestFit="1" customWidth="1"/>
    <col min="7961" max="8192" width="9.140625" style="1"/>
    <col min="8193" max="8193" width="25.140625" style="1" customWidth="1"/>
    <col min="8194" max="8194" width="21.85546875" style="1" customWidth="1"/>
    <col min="8195" max="8195" width="22.42578125" style="1" bestFit="1" customWidth="1"/>
    <col min="8196" max="8196" width="17.85546875" style="1" bestFit="1" customWidth="1"/>
    <col min="8197" max="8197" width="19.42578125" style="1" customWidth="1"/>
    <col min="8198" max="8198" width="18.7109375" style="1" bestFit="1" customWidth="1"/>
    <col min="8199" max="8199" width="21" style="1" customWidth="1"/>
    <col min="8200" max="8200" width="20" style="1" bestFit="1" customWidth="1"/>
    <col min="8201" max="8201" width="20.85546875" style="1" bestFit="1" customWidth="1"/>
    <col min="8202" max="8202" width="13.7109375" style="1" customWidth="1"/>
    <col min="8203" max="8204" width="17.7109375" style="1" bestFit="1" customWidth="1"/>
    <col min="8205" max="8205" width="16" style="1" bestFit="1" customWidth="1"/>
    <col min="8206" max="8206" width="21.42578125" style="1" bestFit="1" customWidth="1"/>
    <col min="8207" max="8207" width="23.28515625" style="1" customWidth="1"/>
    <col min="8208" max="8208" width="16" style="1" bestFit="1" customWidth="1"/>
    <col min="8209" max="8210" width="9.140625" style="1"/>
    <col min="8211" max="8211" width="23.42578125" style="1" bestFit="1" customWidth="1"/>
    <col min="8212" max="8212" width="12.5703125" style="1" bestFit="1" customWidth="1"/>
    <col min="8213" max="8214" width="21" style="1" bestFit="1" customWidth="1"/>
    <col min="8215" max="8215" width="7.7109375" style="1" bestFit="1" customWidth="1"/>
    <col min="8216" max="8216" width="21.42578125" style="1" bestFit="1" customWidth="1"/>
    <col min="8217" max="8448" width="9.140625" style="1"/>
    <col min="8449" max="8449" width="25.140625" style="1" customWidth="1"/>
    <col min="8450" max="8450" width="21.85546875" style="1" customWidth="1"/>
    <col min="8451" max="8451" width="22.42578125" style="1" bestFit="1" customWidth="1"/>
    <col min="8452" max="8452" width="17.85546875" style="1" bestFit="1" customWidth="1"/>
    <col min="8453" max="8453" width="19.42578125" style="1" customWidth="1"/>
    <col min="8454" max="8454" width="18.7109375" style="1" bestFit="1" customWidth="1"/>
    <col min="8455" max="8455" width="21" style="1" customWidth="1"/>
    <col min="8456" max="8456" width="20" style="1" bestFit="1" customWidth="1"/>
    <col min="8457" max="8457" width="20.85546875" style="1" bestFit="1" customWidth="1"/>
    <col min="8458" max="8458" width="13.7109375" style="1" customWidth="1"/>
    <col min="8459" max="8460" width="17.7109375" style="1" bestFit="1" customWidth="1"/>
    <col min="8461" max="8461" width="16" style="1" bestFit="1" customWidth="1"/>
    <col min="8462" max="8462" width="21.42578125" style="1" bestFit="1" customWidth="1"/>
    <col min="8463" max="8463" width="23.28515625" style="1" customWidth="1"/>
    <col min="8464" max="8464" width="16" style="1" bestFit="1" customWidth="1"/>
    <col min="8465" max="8466" width="9.140625" style="1"/>
    <col min="8467" max="8467" width="23.42578125" style="1" bestFit="1" customWidth="1"/>
    <col min="8468" max="8468" width="12.5703125" style="1" bestFit="1" customWidth="1"/>
    <col min="8469" max="8470" width="21" style="1" bestFit="1" customWidth="1"/>
    <col min="8471" max="8471" width="7.7109375" style="1" bestFit="1" customWidth="1"/>
    <col min="8472" max="8472" width="21.42578125" style="1" bestFit="1" customWidth="1"/>
    <col min="8473" max="8704" width="9.140625" style="1"/>
    <col min="8705" max="8705" width="25.140625" style="1" customWidth="1"/>
    <col min="8706" max="8706" width="21.85546875" style="1" customWidth="1"/>
    <col min="8707" max="8707" width="22.42578125" style="1" bestFit="1" customWidth="1"/>
    <col min="8708" max="8708" width="17.85546875" style="1" bestFit="1" customWidth="1"/>
    <col min="8709" max="8709" width="19.42578125" style="1" customWidth="1"/>
    <col min="8710" max="8710" width="18.7109375" style="1" bestFit="1" customWidth="1"/>
    <col min="8711" max="8711" width="21" style="1" customWidth="1"/>
    <col min="8712" max="8712" width="20" style="1" bestFit="1" customWidth="1"/>
    <col min="8713" max="8713" width="20.85546875" style="1" bestFit="1" customWidth="1"/>
    <col min="8714" max="8714" width="13.7109375" style="1" customWidth="1"/>
    <col min="8715" max="8716" width="17.7109375" style="1" bestFit="1" customWidth="1"/>
    <col min="8717" max="8717" width="16" style="1" bestFit="1" customWidth="1"/>
    <col min="8718" max="8718" width="21.42578125" style="1" bestFit="1" customWidth="1"/>
    <col min="8719" max="8719" width="23.28515625" style="1" customWidth="1"/>
    <col min="8720" max="8720" width="16" style="1" bestFit="1" customWidth="1"/>
    <col min="8721" max="8722" width="9.140625" style="1"/>
    <col min="8723" max="8723" width="23.42578125" style="1" bestFit="1" customWidth="1"/>
    <col min="8724" max="8724" width="12.5703125" style="1" bestFit="1" customWidth="1"/>
    <col min="8725" max="8726" width="21" style="1" bestFit="1" customWidth="1"/>
    <col min="8727" max="8727" width="7.7109375" style="1" bestFit="1" customWidth="1"/>
    <col min="8728" max="8728" width="21.42578125" style="1" bestFit="1" customWidth="1"/>
    <col min="8729" max="8960" width="9.140625" style="1"/>
    <col min="8961" max="8961" width="25.140625" style="1" customWidth="1"/>
    <col min="8962" max="8962" width="21.85546875" style="1" customWidth="1"/>
    <col min="8963" max="8963" width="22.42578125" style="1" bestFit="1" customWidth="1"/>
    <col min="8964" max="8964" width="17.85546875" style="1" bestFit="1" customWidth="1"/>
    <col min="8965" max="8965" width="19.42578125" style="1" customWidth="1"/>
    <col min="8966" max="8966" width="18.7109375" style="1" bestFit="1" customWidth="1"/>
    <col min="8967" max="8967" width="21" style="1" customWidth="1"/>
    <col min="8968" max="8968" width="20" style="1" bestFit="1" customWidth="1"/>
    <col min="8969" max="8969" width="20.85546875" style="1" bestFit="1" customWidth="1"/>
    <col min="8970" max="8970" width="13.7109375" style="1" customWidth="1"/>
    <col min="8971" max="8972" width="17.7109375" style="1" bestFit="1" customWidth="1"/>
    <col min="8973" max="8973" width="16" style="1" bestFit="1" customWidth="1"/>
    <col min="8974" max="8974" width="21.42578125" style="1" bestFit="1" customWidth="1"/>
    <col min="8975" max="8975" width="23.28515625" style="1" customWidth="1"/>
    <col min="8976" max="8976" width="16" style="1" bestFit="1" customWidth="1"/>
    <col min="8977" max="8978" width="9.140625" style="1"/>
    <col min="8979" max="8979" width="23.42578125" style="1" bestFit="1" customWidth="1"/>
    <col min="8980" max="8980" width="12.5703125" style="1" bestFit="1" customWidth="1"/>
    <col min="8981" max="8982" width="21" style="1" bestFit="1" customWidth="1"/>
    <col min="8983" max="8983" width="7.7109375" style="1" bestFit="1" customWidth="1"/>
    <col min="8984" max="8984" width="21.42578125" style="1" bestFit="1" customWidth="1"/>
    <col min="8985" max="9216" width="9.140625" style="1"/>
    <col min="9217" max="9217" width="25.140625" style="1" customWidth="1"/>
    <col min="9218" max="9218" width="21.85546875" style="1" customWidth="1"/>
    <col min="9219" max="9219" width="22.42578125" style="1" bestFit="1" customWidth="1"/>
    <col min="9220" max="9220" width="17.85546875" style="1" bestFit="1" customWidth="1"/>
    <col min="9221" max="9221" width="19.42578125" style="1" customWidth="1"/>
    <col min="9222" max="9222" width="18.7109375" style="1" bestFit="1" customWidth="1"/>
    <col min="9223" max="9223" width="21" style="1" customWidth="1"/>
    <col min="9224" max="9224" width="20" style="1" bestFit="1" customWidth="1"/>
    <col min="9225" max="9225" width="20.85546875" style="1" bestFit="1" customWidth="1"/>
    <col min="9226" max="9226" width="13.7109375" style="1" customWidth="1"/>
    <col min="9227" max="9228" width="17.7109375" style="1" bestFit="1" customWidth="1"/>
    <col min="9229" max="9229" width="16" style="1" bestFit="1" customWidth="1"/>
    <col min="9230" max="9230" width="21.42578125" style="1" bestFit="1" customWidth="1"/>
    <col min="9231" max="9231" width="23.28515625" style="1" customWidth="1"/>
    <col min="9232" max="9232" width="16" style="1" bestFit="1" customWidth="1"/>
    <col min="9233" max="9234" width="9.140625" style="1"/>
    <col min="9235" max="9235" width="23.42578125" style="1" bestFit="1" customWidth="1"/>
    <col min="9236" max="9236" width="12.5703125" style="1" bestFit="1" customWidth="1"/>
    <col min="9237" max="9238" width="21" style="1" bestFit="1" customWidth="1"/>
    <col min="9239" max="9239" width="7.7109375" style="1" bestFit="1" customWidth="1"/>
    <col min="9240" max="9240" width="21.42578125" style="1" bestFit="1" customWidth="1"/>
    <col min="9241" max="9472" width="9.140625" style="1"/>
    <col min="9473" max="9473" width="25.140625" style="1" customWidth="1"/>
    <col min="9474" max="9474" width="21.85546875" style="1" customWidth="1"/>
    <col min="9475" max="9475" width="22.42578125" style="1" bestFit="1" customWidth="1"/>
    <col min="9476" max="9476" width="17.85546875" style="1" bestFit="1" customWidth="1"/>
    <col min="9477" max="9477" width="19.42578125" style="1" customWidth="1"/>
    <col min="9478" max="9478" width="18.7109375" style="1" bestFit="1" customWidth="1"/>
    <col min="9479" max="9479" width="21" style="1" customWidth="1"/>
    <col min="9480" max="9480" width="20" style="1" bestFit="1" customWidth="1"/>
    <col min="9481" max="9481" width="20.85546875" style="1" bestFit="1" customWidth="1"/>
    <col min="9482" max="9482" width="13.7109375" style="1" customWidth="1"/>
    <col min="9483" max="9484" width="17.7109375" style="1" bestFit="1" customWidth="1"/>
    <col min="9485" max="9485" width="16" style="1" bestFit="1" customWidth="1"/>
    <col min="9486" max="9486" width="21.42578125" style="1" bestFit="1" customWidth="1"/>
    <col min="9487" max="9487" width="23.28515625" style="1" customWidth="1"/>
    <col min="9488" max="9488" width="16" style="1" bestFit="1" customWidth="1"/>
    <col min="9489" max="9490" width="9.140625" style="1"/>
    <col min="9491" max="9491" width="23.42578125" style="1" bestFit="1" customWidth="1"/>
    <col min="9492" max="9492" width="12.5703125" style="1" bestFit="1" customWidth="1"/>
    <col min="9493" max="9494" width="21" style="1" bestFit="1" customWidth="1"/>
    <col min="9495" max="9495" width="7.7109375" style="1" bestFit="1" customWidth="1"/>
    <col min="9496" max="9496" width="21.42578125" style="1" bestFit="1" customWidth="1"/>
    <col min="9497" max="9728" width="9.140625" style="1"/>
    <col min="9729" max="9729" width="25.140625" style="1" customWidth="1"/>
    <col min="9730" max="9730" width="21.85546875" style="1" customWidth="1"/>
    <col min="9731" max="9731" width="22.42578125" style="1" bestFit="1" customWidth="1"/>
    <col min="9732" max="9732" width="17.85546875" style="1" bestFit="1" customWidth="1"/>
    <col min="9733" max="9733" width="19.42578125" style="1" customWidth="1"/>
    <col min="9734" max="9734" width="18.7109375" style="1" bestFit="1" customWidth="1"/>
    <col min="9735" max="9735" width="21" style="1" customWidth="1"/>
    <col min="9736" max="9736" width="20" style="1" bestFit="1" customWidth="1"/>
    <col min="9737" max="9737" width="20.85546875" style="1" bestFit="1" customWidth="1"/>
    <col min="9738" max="9738" width="13.7109375" style="1" customWidth="1"/>
    <col min="9739" max="9740" width="17.7109375" style="1" bestFit="1" customWidth="1"/>
    <col min="9741" max="9741" width="16" style="1" bestFit="1" customWidth="1"/>
    <col min="9742" max="9742" width="21.42578125" style="1" bestFit="1" customWidth="1"/>
    <col min="9743" max="9743" width="23.28515625" style="1" customWidth="1"/>
    <col min="9744" max="9744" width="16" style="1" bestFit="1" customWidth="1"/>
    <col min="9745" max="9746" width="9.140625" style="1"/>
    <col min="9747" max="9747" width="23.42578125" style="1" bestFit="1" customWidth="1"/>
    <col min="9748" max="9748" width="12.5703125" style="1" bestFit="1" customWidth="1"/>
    <col min="9749" max="9750" width="21" style="1" bestFit="1" customWidth="1"/>
    <col min="9751" max="9751" width="7.7109375" style="1" bestFit="1" customWidth="1"/>
    <col min="9752" max="9752" width="21.42578125" style="1" bestFit="1" customWidth="1"/>
    <col min="9753" max="9984" width="9.140625" style="1"/>
    <col min="9985" max="9985" width="25.140625" style="1" customWidth="1"/>
    <col min="9986" max="9986" width="21.85546875" style="1" customWidth="1"/>
    <col min="9987" max="9987" width="22.42578125" style="1" bestFit="1" customWidth="1"/>
    <col min="9988" max="9988" width="17.85546875" style="1" bestFit="1" customWidth="1"/>
    <col min="9989" max="9989" width="19.42578125" style="1" customWidth="1"/>
    <col min="9990" max="9990" width="18.7109375" style="1" bestFit="1" customWidth="1"/>
    <col min="9991" max="9991" width="21" style="1" customWidth="1"/>
    <col min="9992" max="9992" width="20" style="1" bestFit="1" customWidth="1"/>
    <col min="9993" max="9993" width="20.85546875" style="1" bestFit="1" customWidth="1"/>
    <col min="9994" max="9994" width="13.7109375" style="1" customWidth="1"/>
    <col min="9995" max="9996" width="17.7109375" style="1" bestFit="1" customWidth="1"/>
    <col min="9997" max="9997" width="16" style="1" bestFit="1" customWidth="1"/>
    <col min="9998" max="9998" width="21.42578125" style="1" bestFit="1" customWidth="1"/>
    <col min="9999" max="9999" width="23.28515625" style="1" customWidth="1"/>
    <col min="10000" max="10000" width="16" style="1" bestFit="1" customWidth="1"/>
    <col min="10001" max="10002" width="9.140625" style="1"/>
    <col min="10003" max="10003" width="23.42578125" style="1" bestFit="1" customWidth="1"/>
    <col min="10004" max="10004" width="12.5703125" style="1" bestFit="1" customWidth="1"/>
    <col min="10005" max="10006" width="21" style="1" bestFit="1" customWidth="1"/>
    <col min="10007" max="10007" width="7.7109375" style="1" bestFit="1" customWidth="1"/>
    <col min="10008" max="10008" width="21.42578125" style="1" bestFit="1" customWidth="1"/>
    <col min="10009" max="10240" width="9.140625" style="1"/>
    <col min="10241" max="10241" width="25.140625" style="1" customWidth="1"/>
    <col min="10242" max="10242" width="21.85546875" style="1" customWidth="1"/>
    <col min="10243" max="10243" width="22.42578125" style="1" bestFit="1" customWidth="1"/>
    <col min="10244" max="10244" width="17.85546875" style="1" bestFit="1" customWidth="1"/>
    <col min="10245" max="10245" width="19.42578125" style="1" customWidth="1"/>
    <col min="10246" max="10246" width="18.7109375" style="1" bestFit="1" customWidth="1"/>
    <col min="10247" max="10247" width="21" style="1" customWidth="1"/>
    <col min="10248" max="10248" width="20" style="1" bestFit="1" customWidth="1"/>
    <col min="10249" max="10249" width="20.85546875" style="1" bestFit="1" customWidth="1"/>
    <col min="10250" max="10250" width="13.7109375" style="1" customWidth="1"/>
    <col min="10251" max="10252" width="17.7109375" style="1" bestFit="1" customWidth="1"/>
    <col min="10253" max="10253" width="16" style="1" bestFit="1" customWidth="1"/>
    <col min="10254" max="10254" width="21.42578125" style="1" bestFit="1" customWidth="1"/>
    <col min="10255" max="10255" width="23.28515625" style="1" customWidth="1"/>
    <col min="10256" max="10256" width="16" style="1" bestFit="1" customWidth="1"/>
    <col min="10257" max="10258" width="9.140625" style="1"/>
    <col min="10259" max="10259" width="23.42578125" style="1" bestFit="1" customWidth="1"/>
    <col min="10260" max="10260" width="12.5703125" style="1" bestFit="1" customWidth="1"/>
    <col min="10261" max="10262" width="21" style="1" bestFit="1" customWidth="1"/>
    <col min="10263" max="10263" width="7.7109375" style="1" bestFit="1" customWidth="1"/>
    <col min="10264" max="10264" width="21.42578125" style="1" bestFit="1" customWidth="1"/>
    <col min="10265" max="10496" width="9.140625" style="1"/>
    <col min="10497" max="10497" width="25.140625" style="1" customWidth="1"/>
    <col min="10498" max="10498" width="21.85546875" style="1" customWidth="1"/>
    <col min="10499" max="10499" width="22.42578125" style="1" bestFit="1" customWidth="1"/>
    <col min="10500" max="10500" width="17.85546875" style="1" bestFit="1" customWidth="1"/>
    <col min="10501" max="10501" width="19.42578125" style="1" customWidth="1"/>
    <col min="10502" max="10502" width="18.7109375" style="1" bestFit="1" customWidth="1"/>
    <col min="10503" max="10503" width="21" style="1" customWidth="1"/>
    <col min="10504" max="10504" width="20" style="1" bestFit="1" customWidth="1"/>
    <col min="10505" max="10505" width="20.85546875" style="1" bestFit="1" customWidth="1"/>
    <col min="10506" max="10506" width="13.7109375" style="1" customWidth="1"/>
    <col min="10507" max="10508" width="17.7109375" style="1" bestFit="1" customWidth="1"/>
    <col min="10509" max="10509" width="16" style="1" bestFit="1" customWidth="1"/>
    <col min="10510" max="10510" width="21.42578125" style="1" bestFit="1" customWidth="1"/>
    <col min="10511" max="10511" width="23.28515625" style="1" customWidth="1"/>
    <col min="10512" max="10512" width="16" style="1" bestFit="1" customWidth="1"/>
    <col min="10513" max="10514" width="9.140625" style="1"/>
    <col min="10515" max="10515" width="23.42578125" style="1" bestFit="1" customWidth="1"/>
    <col min="10516" max="10516" width="12.5703125" style="1" bestFit="1" customWidth="1"/>
    <col min="10517" max="10518" width="21" style="1" bestFit="1" customWidth="1"/>
    <col min="10519" max="10519" width="7.7109375" style="1" bestFit="1" customWidth="1"/>
    <col min="10520" max="10520" width="21.42578125" style="1" bestFit="1" customWidth="1"/>
    <col min="10521" max="10752" width="9.140625" style="1"/>
    <col min="10753" max="10753" width="25.140625" style="1" customWidth="1"/>
    <col min="10754" max="10754" width="21.85546875" style="1" customWidth="1"/>
    <col min="10755" max="10755" width="22.42578125" style="1" bestFit="1" customWidth="1"/>
    <col min="10756" max="10756" width="17.85546875" style="1" bestFit="1" customWidth="1"/>
    <col min="10757" max="10757" width="19.42578125" style="1" customWidth="1"/>
    <col min="10758" max="10758" width="18.7109375" style="1" bestFit="1" customWidth="1"/>
    <col min="10759" max="10759" width="21" style="1" customWidth="1"/>
    <col min="10760" max="10760" width="20" style="1" bestFit="1" customWidth="1"/>
    <col min="10761" max="10761" width="20.85546875" style="1" bestFit="1" customWidth="1"/>
    <col min="10762" max="10762" width="13.7109375" style="1" customWidth="1"/>
    <col min="10763" max="10764" width="17.7109375" style="1" bestFit="1" customWidth="1"/>
    <col min="10765" max="10765" width="16" style="1" bestFit="1" customWidth="1"/>
    <col min="10766" max="10766" width="21.42578125" style="1" bestFit="1" customWidth="1"/>
    <col min="10767" max="10767" width="23.28515625" style="1" customWidth="1"/>
    <col min="10768" max="10768" width="16" style="1" bestFit="1" customWidth="1"/>
    <col min="10769" max="10770" width="9.140625" style="1"/>
    <col min="10771" max="10771" width="23.42578125" style="1" bestFit="1" customWidth="1"/>
    <col min="10772" max="10772" width="12.5703125" style="1" bestFit="1" customWidth="1"/>
    <col min="10773" max="10774" width="21" style="1" bestFit="1" customWidth="1"/>
    <col min="10775" max="10775" width="7.7109375" style="1" bestFit="1" customWidth="1"/>
    <col min="10776" max="10776" width="21.42578125" style="1" bestFit="1" customWidth="1"/>
    <col min="10777" max="11008" width="9.140625" style="1"/>
    <col min="11009" max="11009" width="25.140625" style="1" customWidth="1"/>
    <col min="11010" max="11010" width="21.85546875" style="1" customWidth="1"/>
    <col min="11011" max="11011" width="22.42578125" style="1" bestFit="1" customWidth="1"/>
    <col min="11012" max="11012" width="17.85546875" style="1" bestFit="1" customWidth="1"/>
    <col min="11013" max="11013" width="19.42578125" style="1" customWidth="1"/>
    <col min="11014" max="11014" width="18.7109375" style="1" bestFit="1" customWidth="1"/>
    <col min="11015" max="11015" width="21" style="1" customWidth="1"/>
    <col min="11016" max="11016" width="20" style="1" bestFit="1" customWidth="1"/>
    <col min="11017" max="11017" width="20.85546875" style="1" bestFit="1" customWidth="1"/>
    <col min="11018" max="11018" width="13.7109375" style="1" customWidth="1"/>
    <col min="11019" max="11020" width="17.7109375" style="1" bestFit="1" customWidth="1"/>
    <col min="11021" max="11021" width="16" style="1" bestFit="1" customWidth="1"/>
    <col min="11022" max="11022" width="21.42578125" style="1" bestFit="1" customWidth="1"/>
    <col min="11023" max="11023" width="23.28515625" style="1" customWidth="1"/>
    <col min="11024" max="11024" width="16" style="1" bestFit="1" customWidth="1"/>
    <col min="11025" max="11026" width="9.140625" style="1"/>
    <col min="11027" max="11027" width="23.42578125" style="1" bestFit="1" customWidth="1"/>
    <col min="11028" max="11028" width="12.5703125" style="1" bestFit="1" customWidth="1"/>
    <col min="11029" max="11030" width="21" style="1" bestFit="1" customWidth="1"/>
    <col min="11031" max="11031" width="7.7109375" style="1" bestFit="1" customWidth="1"/>
    <col min="11032" max="11032" width="21.42578125" style="1" bestFit="1" customWidth="1"/>
    <col min="11033" max="11264" width="9.140625" style="1"/>
    <col min="11265" max="11265" width="25.140625" style="1" customWidth="1"/>
    <col min="11266" max="11266" width="21.85546875" style="1" customWidth="1"/>
    <col min="11267" max="11267" width="22.42578125" style="1" bestFit="1" customWidth="1"/>
    <col min="11268" max="11268" width="17.85546875" style="1" bestFit="1" customWidth="1"/>
    <col min="11269" max="11269" width="19.42578125" style="1" customWidth="1"/>
    <col min="11270" max="11270" width="18.7109375" style="1" bestFit="1" customWidth="1"/>
    <col min="11271" max="11271" width="21" style="1" customWidth="1"/>
    <col min="11272" max="11272" width="20" style="1" bestFit="1" customWidth="1"/>
    <col min="11273" max="11273" width="20.85546875" style="1" bestFit="1" customWidth="1"/>
    <col min="11274" max="11274" width="13.7109375" style="1" customWidth="1"/>
    <col min="11275" max="11276" width="17.7109375" style="1" bestFit="1" customWidth="1"/>
    <col min="11277" max="11277" width="16" style="1" bestFit="1" customWidth="1"/>
    <col min="11278" max="11278" width="21.42578125" style="1" bestFit="1" customWidth="1"/>
    <col min="11279" max="11279" width="23.28515625" style="1" customWidth="1"/>
    <col min="11280" max="11280" width="16" style="1" bestFit="1" customWidth="1"/>
    <col min="11281" max="11282" width="9.140625" style="1"/>
    <col min="11283" max="11283" width="23.42578125" style="1" bestFit="1" customWidth="1"/>
    <col min="11284" max="11284" width="12.5703125" style="1" bestFit="1" customWidth="1"/>
    <col min="11285" max="11286" width="21" style="1" bestFit="1" customWidth="1"/>
    <col min="11287" max="11287" width="7.7109375" style="1" bestFit="1" customWidth="1"/>
    <col min="11288" max="11288" width="21.42578125" style="1" bestFit="1" customWidth="1"/>
    <col min="11289" max="11520" width="9.140625" style="1"/>
    <col min="11521" max="11521" width="25.140625" style="1" customWidth="1"/>
    <col min="11522" max="11522" width="21.85546875" style="1" customWidth="1"/>
    <col min="11523" max="11523" width="22.42578125" style="1" bestFit="1" customWidth="1"/>
    <col min="11524" max="11524" width="17.85546875" style="1" bestFit="1" customWidth="1"/>
    <col min="11525" max="11525" width="19.42578125" style="1" customWidth="1"/>
    <col min="11526" max="11526" width="18.7109375" style="1" bestFit="1" customWidth="1"/>
    <col min="11527" max="11527" width="21" style="1" customWidth="1"/>
    <col min="11528" max="11528" width="20" style="1" bestFit="1" customWidth="1"/>
    <col min="11529" max="11529" width="20.85546875" style="1" bestFit="1" customWidth="1"/>
    <col min="11530" max="11530" width="13.7109375" style="1" customWidth="1"/>
    <col min="11531" max="11532" width="17.7109375" style="1" bestFit="1" customWidth="1"/>
    <col min="11533" max="11533" width="16" style="1" bestFit="1" customWidth="1"/>
    <col min="11534" max="11534" width="21.42578125" style="1" bestFit="1" customWidth="1"/>
    <col min="11535" max="11535" width="23.28515625" style="1" customWidth="1"/>
    <col min="11536" max="11536" width="16" style="1" bestFit="1" customWidth="1"/>
    <col min="11537" max="11538" width="9.140625" style="1"/>
    <col min="11539" max="11539" width="23.42578125" style="1" bestFit="1" customWidth="1"/>
    <col min="11540" max="11540" width="12.5703125" style="1" bestFit="1" customWidth="1"/>
    <col min="11541" max="11542" width="21" style="1" bestFit="1" customWidth="1"/>
    <col min="11543" max="11543" width="7.7109375" style="1" bestFit="1" customWidth="1"/>
    <col min="11544" max="11544" width="21.42578125" style="1" bestFit="1" customWidth="1"/>
    <col min="11545" max="11776" width="9.140625" style="1"/>
    <col min="11777" max="11777" width="25.140625" style="1" customWidth="1"/>
    <col min="11778" max="11778" width="21.85546875" style="1" customWidth="1"/>
    <col min="11779" max="11779" width="22.42578125" style="1" bestFit="1" customWidth="1"/>
    <col min="11780" max="11780" width="17.85546875" style="1" bestFit="1" customWidth="1"/>
    <col min="11781" max="11781" width="19.42578125" style="1" customWidth="1"/>
    <col min="11782" max="11782" width="18.7109375" style="1" bestFit="1" customWidth="1"/>
    <col min="11783" max="11783" width="21" style="1" customWidth="1"/>
    <col min="11784" max="11784" width="20" style="1" bestFit="1" customWidth="1"/>
    <col min="11785" max="11785" width="20.85546875" style="1" bestFit="1" customWidth="1"/>
    <col min="11786" max="11786" width="13.7109375" style="1" customWidth="1"/>
    <col min="11787" max="11788" width="17.7109375" style="1" bestFit="1" customWidth="1"/>
    <col min="11789" max="11789" width="16" style="1" bestFit="1" customWidth="1"/>
    <col min="11790" max="11790" width="21.42578125" style="1" bestFit="1" customWidth="1"/>
    <col min="11791" max="11791" width="23.28515625" style="1" customWidth="1"/>
    <col min="11792" max="11792" width="16" style="1" bestFit="1" customWidth="1"/>
    <col min="11793" max="11794" width="9.140625" style="1"/>
    <col min="11795" max="11795" width="23.42578125" style="1" bestFit="1" customWidth="1"/>
    <col min="11796" max="11796" width="12.5703125" style="1" bestFit="1" customWidth="1"/>
    <col min="11797" max="11798" width="21" style="1" bestFit="1" customWidth="1"/>
    <col min="11799" max="11799" width="7.7109375" style="1" bestFit="1" customWidth="1"/>
    <col min="11800" max="11800" width="21.42578125" style="1" bestFit="1" customWidth="1"/>
    <col min="11801" max="12032" width="9.140625" style="1"/>
    <col min="12033" max="12033" width="25.140625" style="1" customWidth="1"/>
    <col min="12034" max="12034" width="21.85546875" style="1" customWidth="1"/>
    <col min="12035" max="12035" width="22.42578125" style="1" bestFit="1" customWidth="1"/>
    <col min="12036" max="12036" width="17.85546875" style="1" bestFit="1" customWidth="1"/>
    <col min="12037" max="12037" width="19.42578125" style="1" customWidth="1"/>
    <col min="12038" max="12038" width="18.7109375" style="1" bestFit="1" customWidth="1"/>
    <col min="12039" max="12039" width="21" style="1" customWidth="1"/>
    <col min="12040" max="12040" width="20" style="1" bestFit="1" customWidth="1"/>
    <col min="12041" max="12041" width="20.85546875" style="1" bestFit="1" customWidth="1"/>
    <col min="12042" max="12042" width="13.7109375" style="1" customWidth="1"/>
    <col min="12043" max="12044" width="17.7109375" style="1" bestFit="1" customWidth="1"/>
    <col min="12045" max="12045" width="16" style="1" bestFit="1" customWidth="1"/>
    <col min="12046" max="12046" width="21.42578125" style="1" bestFit="1" customWidth="1"/>
    <col min="12047" max="12047" width="23.28515625" style="1" customWidth="1"/>
    <col min="12048" max="12048" width="16" style="1" bestFit="1" customWidth="1"/>
    <col min="12049" max="12050" width="9.140625" style="1"/>
    <col min="12051" max="12051" width="23.42578125" style="1" bestFit="1" customWidth="1"/>
    <col min="12052" max="12052" width="12.5703125" style="1" bestFit="1" customWidth="1"/>
    <col min="12053" max="12054" width="21" style="1" bestFit="1" customWidth="1"/>
    <col min="12055" max="12055" width="7.7109375" style="1" bestFit="1" customWidth="1"/>
    <col min="12056" max="12056" width="21.42578125" style="1" bestFit="1" customWidth="1"/>
    <col min="12057" max="12288" width="9.140625" style="1"/>
    <col min="12289" max="12289" width="25.140625" style="1" customWidth="1"/>
    <col min="12290" max="12290" width="21.85546875" style="1" customWidth="1"/>
    <col min="12291" max="12291" width="22.42578125" style="1" bestFit="1" customWidth="1"/>
    <col min="12292" max="12292" width="17.85546875" style="1" bestFit="1" customWidth="1"/>
    <col min="12293" max="12293" width="19.42578125" style="1" customWidth="1"/>
    <col min="12294" max="12294" width="18.7109375" style="1" bestFit="1" customWidth="1"/>
    <col min="12295" max="12295" width="21" style="1" customWidth="1"/>
    <col min="12296" max="12296" width="20" style="1" bestFit="1" customWidth="1"/>
    <col min="12297" max="12297" width="20.85546875" style="1" bestFit="1" customWidth="1"/>
    <col min="12298" max="12298" width="13.7109375" style="1" customWidth="1"/>
    <col min="12299" max="12300" width="17.7109375" style="1" bestFit="1" customWidth="1"/>
    <col min="12301" max="12301" width="16" style="1" bestFit="1" customWidth="1"/>
    <col min="12302" max="12302" width="21.42578125" style="1" bestFit="1" customWidth="1"/>
    <col min="12303" max="12303" width="23.28515625" style="1" customWidth="1"/>
    <col min="12304" max="12304" width="16" style="1" bestFit="1" customWidth="1"/>
    <col min="12305" max="12306" width="9.140625" style="1"/>
    <col min="12307" max="12307" width="23.42578125" style="1" bestFit="1" customWidth="1"/>
    <col min="12308" max="12308" width="12.5703125" style="1" bestFit="1" customWidth="1"/>
    <col min="12309" max="12310" width="21" style="1" bestFit="1" customWidth="1"/>
    <col min="12311" max="12311" width="7.7109375" style="1" bestFit="1" customWidth="1"/>
    <col min="12312" max="12312" width="21.42578125" style="1" bestFit="1" customWidth="1"/>
    <col min="12313" max="12544" width="9.140625" style="1"/>
    <col min="12545" max="12545" width="25.140625" style="1" customWidth="1"/>
    <col min="12546" max="12546" width="21.85546875" style="1" customWidth="1"/>
    <col min="12547" max="12547" width="22.42578125" style="1" bestFit="1" customWidth="1"/>
    <col min="12548" max="12548" width="17.85546875" style="1" bestFit="1" customWidth="1"/>
    <col min="12549" max="12549" width="19.42578125" style="1" customWidth="1"/>
    <col min="12550" max="12550" width="18.7109375" style="1" bestFit="1" customWidth="1"/>
    <col min="12551" max="12551" width="21" style="1" customWidth="1"/>
    <col min="12552" max="12552" width="20" style="1" bestFit="1" customWidth="1"/>
    <col min="12553" max="12553" width="20.85546875" style="1" bestFit="1" customWidth="1"/>
    <col min="12554" max="12554" width="13.7109375" style="1" customWidth="1"/>
    <col min="12555" max="12556" width="17.7109375" style="1" bestFit="1" customWidth="1"/>
    <col min="12557" max="12557" width="16" style="1" bestFit="1" customWidth="1"/>
    <col min="12558" max="12558" width="21.42578125" style="1" bestFit="1" customWidth="1"/>
    <col min="12559" max="12559" width="23.28515625" style="1" customWidth="1"/>
    <col min="12560" max="12560" width="16" style="1" bestFit="1" customWidth="1"/>
    <col min="12561" max="12562" width="9.140625" style="1"/>
    <col min="12563" max="12563" width="23.42578125" style="1" bestFit="1" customWidth="1"/>
    <col min="12564" max="12564" width="12.5703125" style="1" bestFit="1" customWidth="1"/>
    <col min="12565" max="12566" width="21" style="1" bestFit="1" customWidth="1"/>
    <col min="12567" max="12567" width="7.7109375" style="1" bestFit="1" customWidth="1"/>
    <col min="12568" max="12568" width="21.42578125" style="1" bestFit="1" customWidth="1"/>
    <col min="12569" max="12800" width="9.140625" style="1"/>
    <col min="12801" max="12801" width="25.140625" style="1" customWidth="1"/>
    <col min="12802" max="12802" width="21.85546875" style="1" customWidth="1"/>
    <col min="12803" max="12803" width="22.42578125" style="1" bestFit="1" customWidth="1"/>
    <col min="12804" max="12804" width="17.85546875" style="1" bestFit="1" customWidth="1"/>
    <col min="12805" max="12805" width="19.42578125" style="1" customWidth="1"/>
    <col min="12806" max="12806" width="18.7109375" style="1" bestFit="1" customWidth="1"/>
    <col min="12807" max="12807" width="21" style="1" customWidth="1"/>
    <col min="12808" max="12808" width="20" style="1" bestFit="1" customWidth="1"/>
    <col min="12809" max="12809" width="20.85546875" style="1" bestFit="1" customWidth="1"/>
    <col min="12810" max="12810" width="13.7109375" style="1" customWidth="1"/>
    <col min="12811" max="12812" width="17.7109375" style="1" bestFit="1" customWidth="1"/>
    <col min="12813" max="12813" width="16" style="1" bestFit="1" customWidth="1"/>
    <col min="12814" max="12814" width="21.42578125" style="1" bestFit="1" customWidth="1"/>
    <col min="12815" max="12815" width="23.28515625" style="1" customWidth="1"/>
    <col min="12816" max="12816" width="16" style="1" bestFit="1" customWidth="1"/>
    <col min="12817" max="12818" width="9.140625" style="1"/>
    <col min="12819" max="12819" width="23.42578125" style="1" bestFit="1" customWidth="1"/>
    <col min="12820" max="12820" width="12.5703125" style="1" bestFit="1" customWidth="1"/>
    <col min="12821" max="12822" width="21" style="1" bestFit="1" customWidth="1"/>
    <col min="12823" max="12823" width="7.7109375" style="1" bestFit="1" customWidth="1"/>
    <col min="12824" max="12824" width="21.42578125" style="1" bestFit="1" customWidth="1"/>
    <col min="12825" max="13056" width="9.140625" style="1"/>
    <col min="13057" max="13057" width="25.140625" style="1" customWidth="1"/>
    <col min="13058" max="13058" width="21.85546875" style="1" customWidth="1"/>
    <col min="13059" max="13059" width="22.42578125" style="1" bestFit="1" customWidth="1"/>
    <col min="13060" max="13060" width="17.85546875" style="1" bestFit="1" customWidth="1"/>
    <col min="13061" max="13061" width="19.42578125" style="1" customWidth="1"/>
    <col min="13062" max="13062" width="18.7109375" style="1" bestFit="1" customWidth="1"/>
    <col min="13063" max="13063" width="21" style="1" customWidth="1"/>
    <col min="13064" max="13064" width="20" style="1" bestFit="1" customWidth="1"/>
    <col min="13065" max="13065" width="20.85546875" style="1" bestFit="1" customWidth="1"/>
    <col min="13066" max="13066" width="13.7109375" style="1" customWidth="1"/>
    <col min="13067" max="13068" width="17.7109375" style="1" bestFit="1" customWidth="1"/>
    <col min="13069" max="13069" width="16" style="1" bestFit="1" customWidth="1"/>
    <col min="13070" max="13070" width="21.42578125" style="1" bestFit="1" customWidth="1"/>
    <col min="13071" max="13071" width="23.28515625" style="1" customWidth="1"/>
    <col min="13072" max="13072" width="16" style="1" bestFit="1" customWidth="1"/>
    <col min="13073" max="13074" width="9.140625" style="1"/>
    <col min="13075" max="13075" width="23.42578125" style="1" bestFit="1" customWidth="1"/>
    <col min="13076" max="13076" width="12.5703125" style="1" bestFit="1" customWidth="1"/>
    <col min="13077" max="13078" width="21" style="1" bestFit="1" customWidth="1"/>
    <col min="13079" max="13079" width="7.7109375" style="1" bestFit="1" customWidth="1"/>
    <col min="13080" max="13080" width="21.42578125" style="1" bestFit="1" customWidth="1"/>
    <col min="13081" max="13312" width="9.140625" style="1"/>
    <col min="13313" max="13313" width="25.140625" style="1" customWidth="1"/>
    <col min="13314" max="13314" width="21.85546875" style="1" customWidth="1"/>
    <col min="13315" max="13315" width="22.42578125" style="1" bestFit="1" customWidth="1"/>
    <col min="13316" max="13316" width="17.85546875" style="1" bestFit="1" customWidth="1"/>
    <col min="13317" max="13317" width="19.42578125" style="1" customWidth="1"/>
    <col min="13318" max="13318" width="18.7109375" style="1" bestFit="1" customWidth="1"/>
    <col min="13319" max="13319" width="21" style="1" customWidth="1"/>
    <col min="13320" max="13320" width="20" style="1" bestFit="1" customWidth="1"/>
    <col min="13321" max="13321" width="20.85546875" style="1" bestFit="1" customWidth="1"/>
    <col min="13322" max="13322" width="13.7109375" style="1" customWidth="1"/>
    <col min="13323" max="13324" width="17.7109375" style="1" bestFit="1" customWidth="1"/>
    <col min="13325" max="13325" width="16" style="1" bestFit="1" customWidth="1"/>
    <col min="13326" max="13326" width="21.42578125" style="1" bestFit="1" customWidth="1"/>
    <col min="13327" max="13327" width="23.28515625" style="1" customWidth="1"/>
    <col min="13328" max="13328" width="16" style="1" bestFit="1" customWidth="1"/>
    <col min="13329" max="13330" width="9.140625" style="1"/>
    <col min="13331" max="13331" width="23.42578125" style="1" bestFit="1" customWidth="1"/>
    <col min="13332" max="13332" width="12.5703125" style="1" bestFit="1" customWidth="1"/>
    <col min="13333" max="13334" width="21" style="1" bestFit="1" customWidth="1"/>
    <col min="13335" max="13335" width="7.7109375" style="1" bestFit="1" customWidth="1"/>
    <col min="13336" max="13336" width="21.42578125" style="1" bestFit="1" customWidth="1"/>
    <col min="13337" max="13568" width="9.140625" style="1"/>
    <col min="13569" max="13569" width="25.140625" style="1" customWidth="1"/>
    <col min="13570" max="13570" width="21.85546875" style="1" customWidth="1"/>
    <col min="13571" max="13571" width="22.42578125" style="1" bestFit="1" customWidth="1"/>
    <col min="13572" max="13572" width="17.85546875" style="1" bestFit="1" customWidth="1"/>
    <col min="13573" max="13573" width="19.42578125" style="1" customWidth="1"/>
    <col min="13574" max="13574" width="18.7109375" style="1" bestFit="1" customWidth="1"/>
    <col min="13575" max="13575" width="21" style="1" customWidth="1"/>
    <col min="13576" max="13576" width="20" style="1" bestFit="1" customWidth="1"/>
    <col min="13577" max="13577" width="20.85546875" style="1" bestFit="1" customWidth="1"/>
    <col min="13578" max="13578" width="13.7109375" style="1" customWidth="1"/>
    <col min="13579" max="13580" width="17.7109375" style="1" bestFit="1" customWidth="1"/>
    <col min="13581" max="13581" width="16" style="1" bestFit="1" customWidth="1"/>
    <col min="13582" max="13582" width="21.42578125" style="1" bestFit="1" customWidth="1"/>
    <col min="13583" max="13583" width="23.28515625" style="1" customWidth="1"/>
    <col min="13584" max="13584" width="16" style="1" bestFit="1" customWidth="1"/>
    <col min="13585" max="13586" width="9.140625" style="1"/>
    <col min="13587" max="13587" width="23.42578125" style="1" bestFit="1" customWidth="1"/>
    <col min="13588" max="13588" width="12.5703125" style="1" bestFit="1" customWidth="1"/>
    <col min="13589" max="13590" width="21" style="1" bestFit="1" customWidth="1"/>
    <col min="13591" max="13591" width="7.7109375" style="1" bestFit="1" customWidth="1"/>
    <col min="13592" max="13592" width="21.42578125" style="1" bestFit="1" customWidth="1"/>
    <col min="13593" max="13824" width="9.140625" style="1"/>
    <col min="13825" max="13825" width="25.140625" style="1" customWidth="1"/>
    <col min="13826" max="13826" width="21.85546875" style="1" customWidth="1"/>
    <col min="13827" max="13827" width="22.42578125" style="1" bestFit="1" customWidth="1"/>
    <col min="13828" max="13828" width="17.85546875" style="1" bestFit="1" customWidth="1"/>
    <col min="13829" max="13829" width="19.42578125" style="1" customWidth="1"/>
    <col min="13830" max="13830" width="18.7109375" style="1" bestFit="1" customWidth="1"/>
    <col min="13831" max="13831" width="21" style="1" customWidth="1"/>
    <col min="13832" max="13832" width="20" style="1" bestFit="1" customWidth="1"/>
    <col min="13833" max="13833" width="20.85546875" style="1" bestFit="1" customWidth="1"/>
    <col min="13834" max="13834" width="13.7109375" style="1" customWidth="1"/>
    <col min="13835" max="13836" width="17.7109375" style="1" bestFit="1" customWidth="1"/>
    <col min="13837" max="13837" width="16" style="1" bestFit="1" customWidth="1"/>
    <col min="13838" max="13838" width="21.42578125" style="1" bestFit="1" customWidth="1"/>
    <col min="13839" max="13839" width="23.28515625" style="1" customWidth="1"/>
    <col min="13840" max="13840" width="16" style="1" bestFit="1" customWidth="1"/>
    <col min="13841" max="13842" width="9.140625" style="1"/>
    <col min="13843" max="13843" width="23.42578125" style="1" bestFit="1" customWidth="1"/>
    <col min="13844" max="13844" width="12.5703125" style="1" bestFit="1" customWidth="1"/>
    <col min="13845" max="13846" width="21" style="1" bestFit="1" customWidth="1"/>
    <col min="13847" max="13847" width="7.7109375" style="1" bestFit="1" customWidth="1"/>
    <col min="13848" max="13848" width="21.42578125" style="1" bestFit="1" customWidth="1"/>
    <col min="13849" max="14080" width="9.140625" style="1"/>
    <col min="14081" max="14081" width="25.140625" style="1" customWidth="1"/>
    <col min="14082" max="14082" width="21.85546875" style="1" customWidth="1"/>
    <col min="14083" max="14083" width="22.42578125" style="1" bestFit="1" customWidth="1"/>
    <col min="14084" max="14084" width="17.85546875" style="1" bestFit="1" customWidth="1"/>
    <col min="14085" max="14085" width="19.42578125" style="1" customWidth="1"/>
    <col min="14086" max="14086" width="18.7109375" style="1" bestFit="1" customWidth="1"/>
    <col min="14087" max="14087" width="21" style="1" customWidth="1"/>
    <col min="14088" max="14088" width="20" style="1" bestFit="1" customWidth="1"/>
    <col min="14089" max="14089" width="20.85546875" style="1" bestFit="1" customWidth="1"/>
    <col min="14090" max="14090" width="13.7109375" style="1" customWidth="1"/>
    <col min="14091" max="14092" width="17.7109375" style="1" bestFit="1" customWidth="1"/>
    <col min="14093" max="14093" width="16" style="1" bestFit="1" customWidth="1"/>
    <col min="14094" max="14094" width="21.42578125" style="1" bestFit="1" customWidth="1"/>
    <col min="14095" max="14095" width="23.28515625" style="1" customWidth="1"/>
    <col min="14096" max="14096" width="16" style="1" bestFit="1" customWidth="1"/>
    <col min="14097" max="14098" width="9.140625" style="1"/>
    <col min="14099" max="14099" width="23.42578125" style="1" bestFit="1" customWidth="1"/>
    <col min="14100" max="14100" width="12.5703125" style="1" bestFit="1" customWidth="1"/>
    <col min="14101" max="14102" width="21" style="1" bestFit="1" customWidth="1"/>
    <col min="14103" max="14103" width="7.7109375" style="1" bestFit="1" customWidth="1"/>
    <col min="14104" max="14104" width="21.42578125" style="1" bestFit="1" customWidth="1"/>
    <col min="14105" max="14336" width="9.140625" style="1"/>
    <col min="14337" max="14337" width="25.140625" style="1" customWidth="1"/>
    <col min="14338" max="14338" width="21.85546875" style="1" customWidth="1"/>
    <col min="14339" max="14339" width="22.42578125" style="1" bestFit="1" customWidth="1"/>
    <col min="14340" max="14340" width="17.85546875" style="1" bestFit="1" customWidth="1"/>
    <col min="14341" max="14341" width="19.42578125" style="1" customWidth="1"/>
    <col min="14342" max="14342" width="18.7109375" style="1" bestFit="1" customWidth="1"/>
    <col min="14343" max="14343" width="21" style="1" customWidth="1"/>
    <col min="14344" max="14344" width="20" style="1" bestFit="1" customWidth="1"/>
    <col min="14345" max="14345" width="20.85546875" style="1" bestFit="1" customWidth="1"/>
    <col min="14346" max="14346" width="13.7109375" style="1" customWidth="1"/>
    <col min="14347" max="14348" width="17.7109375" style="1" bestFit="1" customWidth="1"/>
    <col min="14349" max="14349" width="16" style="1" bestFit="1" customWidth="1"/>
    <col min="14350" max="14350" width="21.42578125" style="1" bestFit="1" customWidth="1"/>
    <col min="14351" max="14351" width="23.28515625" style="1" customWidth="1"/>
    <col min="14352" max="14352" width="16" style="1" bestFit="1" customWidth="1"/>
    <col min="14353" max="14354" width="9.140625" style="1"/>
    <col min="14355" max="14355" width="23.42578125" style="1" bestFit="1" customWidth="1"/>
    <col min="14356" max="14356" width="12.5703125" style="1" bestFit="1" customWidth="1"/>
    <col min="14357" max="14358" width="21" style="1" bestFit="1" customWidth="1"/>
    <col min="14359" max="14359" width="7.7109375" style="1" bestFit="1" customWidth="1"/>
    <col min="14360" max="14360" width="21.42578125" style="1" bestFit="1" customWidth="1"/>
    <col min="14361" max="14592" width="9.140625" style="1"/>
    <col min="14593" max="14593" width="25.140625" style="1" customWidth="1"/>
    <col min="14594" max="14594" width="21.85546875" style="1" customWidth="1"/>
    <col min="14595" max="14595" width="22.42578125" style="1" bestFit="1" customWidth="1"/>
    <col min="14596" max="14596" width="17.85546875" style="1" bestFit="1" customWidth="1"/>
    <col min="14597" max="14597" width="19.42578125" style="1" customWidth="1"/>
    <col min="14598" max="14598" width="18.7109375" style="1" bestFit="1" customWidth="1"/>
    <col min="14599" max="14599" width="21" style="1" customWidth="1"/>
    <col min="14600" max="14600" width="20" style="1" bestFit="1" customWidth="1"/>
    <col min="14601" max="14601" width="20.85546875" style="1" bestFit="1" customWidth="1"/>
    <col min="14602" max="14602" width="13.7109375" style="1" customWidth="1"/>
    <col min="14603" max="14604" width="17.7109375" style="1" bestFit="1" customWidth="1"/>
    <col min="14605" max="14605" width="16" style="1" bestFit="1" customWidth="1"/>
    <col min="14606" max="14606" width="21.42578125" style="1" bestFit="1" customWidth="1"/>
    <col min="14607" max="14607" width="23.28515625" style="1" customWidth="1"/>
    <col min="14608" max="14608" width="16" style="1" bestFit="1" customWidth="1"/>
    <col min="14609" max="14610" width="9.140625" style="1"/>
    <col min="14611" max="14611" width="23.42578125" style="1" bestFit="1" customWidth="1"/>
    <col min="14612" max="14612" width="12.5703125" style="1" bestFit="1" customWidth="1"/>
    <col min="14613" max="14614" width="21" style="1" bestFit="1" customWidth="1"/>
    <col min="14615" max="14615" width="7.7109375" style="1" bestFit="1" customWidth="1"/>
    <col min="14616" max="14616" width="21.42578125" style="1" bestFit="1" customWidth="1"/>
    <col min="14617" max="14848" width="9.140625" style="1"/>
    <col min="14849" max="14849" width="25.140625" style="1" customWidth="1"/>
    <col min="14850" max="14850" width="21.85546875" style="1" customWidth="1"/>
    <col min="14851" max="14851" width="22.42578125" style="1" bestFit="1" customWidth="1"/>
    <col min="14852" max="14852" width="17.85546875" style="1" bestFit="1" customWidth="1"/>
    <col min="14853" max="14853" width="19.42578125" style="1" customWidth="1"/>
    <col min="14854" max="14854" width="18.7109375" style="1" bestFit="1" customWidth="1"/>
    <col min="14855" max="14855" width="21" style="1" customWidth="1"/>
    <col min="14856" max="14856" width="20" style="1" bestFit="1" customWidth="1"/>
    <col min="14857" max="14857" width="20.85546875" style="1" bestFit="1" customWidth="1"/>
    <col min="14858" max="14858" width="13.7109375" style="1" customWidth="1"/>
    <col min="14859" max="14860" width="17.7109375" style="1" bestFit="1" customWidth="1"/>
    <col min="14861" max="14861" width="16" style="1" bestFit="1" customWidth="1"/>
    <col min="14862" max="14862" width="21.42578125" style="1" bestFit="1" customWidth="1"/>
    <col min="14863" max="14863" width="23.28515625" style="1" customWidth="1"/>
    <col min="14864" max="14864" width="16" style="1" bestFit="1" customWidth="1"/>
    <col min="14865" max="14866" width="9.140625" style="1"/>
    <col min="14867" max="14867" width="23.42578125" style="1" bestFit="1" customWidth="1"/>
    <col min="14868" max="14868" width="12.5703125" style="1" bestFit="1" customWidth="1"/>
    <col min="14869" max="14870" width="21" style="1" bestFit="1" customWidth="1"/>
    <col min="14871" max="14871" width="7.7109375" style="1" bestFit="1" customWidth="1"/>
    <col min="14872" max="14872" width="21.42578125" style="1" bestFit="1" customWidth="1"/>
    <col min="14873" max="15104" width="9.140625" style="1"/>
    <col min="15105" max="15105" width="25.140625" style="1" customWidth="1"/>
    <col min="15106" max="15106" width="21.85546875" style="1" customWidth="1"/>
    <col min="15107" max="15107" width="22.42578125" style="1" bestFit="1" customWidth="1"/>
    <col min="15108" max="15108" width="17.85546875" style="1" bestFit="1" customWidth="1"/>
    <col min="15109" max="15109" width="19.42578125" style="1" customWidth="1"/>
    <col min="15110" max="15110" width="18.7109375" style="1" bestFit="1" customWidth="1"/>
    <col min="15111" max="15111" width="21" style="1" customWidth="1"/>
    <col min="15112" max="15112" width="20" style="1" bestFit="1" customWidth="1"/>
    <col min="15113" max="15113" width="20.85546875" style="1" bestFit="1" customWidth="1"/>
    <col min="15114" max="15114" width="13.7109375" style="1" customWidth="1"/>
    <col min="15115" max="15116" width="17.7109375" style="1" bestFit="1" customWidth="1"/>
    <col min="15117" max="15117" width="16" style="1" bestFit="1" customWidth="1"/>
    <col min="15118" max="15118" width="21.42578125" style="1" bestFit="1" customWidth="1"/>
    <col min="15119" max="15119" width="23.28515625" style="1" customWidth="1"/>
    <col min="15120" max="15120" width="16" style="1" bestFit="1" customWidth="1"/>
    <col min="15121" max="15122" width="9.140625" style="1"/>
    <col min="15123" max="15123" width="23.42578125" style="1" bestFit="1" customWidth="1"/>
    <col min="15124" max="15124" width="12.5703125" style="1" bestFit="1" customWidth="1"/>
    <col min="15125" max="15126" width="21" style="1" bestFit="1" customWidth="1"/>
    <col min="15127" max="15127" width="7.7109375" style="1" bestFit="1" customWidth="1"/>
    <col min="15128" max="15128" width="21.42578125" style="1" bestFit="1" customWidth="1"/>
    <col min="15129" max="15360" width="9.140625" style="1"/>
    <col min="15361" max="15361" width="25.140625" style="1" customWidth="1"/>
    <col min="15362" max="15362" width="21.85546875" style="1" customWidth="1"/>
    <col min="15363" max="15363" width="22.42578125" style="1" bestFit="1" customWidth="1"/>
    <col min="15364" max="15364" width="17.85546875" style="1" bestFit="1" customWidth="1"/>
    <col min="15365" max="15365" width="19.42578125" style="1" customWidth="1"/>
    <col min="15366" max="15366" width="18.7109375" style="1" bestFit="1" customWidth="1"/>
    <col min="15367" max="15367" width="21" style="1" customWidth="1"/>
    <col min="15368" max="15368" width="20" style="1" bestFit="1" customWidth="1"/>
    <col min="15369" max="15369" width="20.85546875" style="1" bestFit="1" customWidth="1"/>
    <col min="15370" max="15370" width="13.7109375" style="1" customWidth="1"/>
    <col min="15371" max="15372" width="17.7109375" style="1" bestFit="1" customWidth="1"/>
    <col min="15373" max="15373" width="16" style="1" bestFit="1" customWidth="1"/>
    <col min="15374" max="15374" width="21.42578125" style="1" bestFit="1" customWidth="1"/>
    <col min="15375" max="15375" width="23.28515625" style="1" customWidth="1"/>
    <col min="15376" max="15376" width="16" style="1" bestFit="1" customWidth="1"/>
    <col min="15377" max="15378" width="9.140625" style="1"/>
    <col min="15379" max="15379" width="23.42578125" style="1" bestFit="1" customWidth="1"/>
    <col min="15380" max="15380" width="12.5703125" style="1" bestFit="1" customWidth="1"/>
    <col min="15381" max="15382" width="21" style="1" bestFit="1" customWidth="1"/>
    <col min="15383" max="15383" width="7.7109375" style="1" bestFit="1" customWidth="1"/>
    <col min="15384" max="15384" width="21.42578125" style="1" bestFit="1" customWidth="1"/>
    <col min="15385" max="15616" width="9.140625" style="1"/>
    <col min="15617" max="15617" width="25.140625" style="1" customWidth="1"/>
    <col min="15618" max="15618" width="21.85546875" style="1" customWidth="1"/>
    <col min="15619" max="15619" width="22.42578125" style="1" bestFit="1" customWidth="1"/>
    <col min="15620" max="15620" width="17.85546875" style="1" bestFit="1" customWidth="1"/>
    <col min="15621" max="15621" width="19.42578125" style="1" customWidth="1"/>
    <col min="15622" max="15622" width="18.7109375" style="1" bestFit="1" customWidth="1"/>
    <col min="15623" max="15623" width="21" style="1" customWidth="1"/>
    <col min="15624" max="15624" width="20" style="1" bestFit="1" customWidth="1"/>
    <col min="15625" max="15625" width="20.85546875" style="1" bestFit="1" customWidth="1"/>
    <col min="15626" max="15626" width="13.7109375" style="1" customWidth="1"/>
    <col min="15627" max="15628" width="17.7109375" style="1" bestFit="1" customWidth="1"/>
    <col min="15629" max="15629" width="16" style="1" bestFit="1" customWidth="1"/>
    <col min="15630" max="15630" width="21.42578125" style="1" bestFit="1" customWidth="1"/>
    <col min="15631" max="15631" width="23.28515625" style="1" customWidth="1"/>
    <col min="15632" max="15632" width="16" style="1" bestFit="1" customWidth="1"/>
    <col min="15633" max="15634" width="9.140625" style="1"/>
    <col min="15635" max="15635" width="23.42578125" style="1" bestFit="1" customWidth="1"/>
    <col min="15636" max="15636" width="12.5703125" style="1" bestFit="1" customWidth="1"/>
    <col min="15637" max="15638" width="21" style="1" bestFit="1" customWidth="1"/>
    <col min="15639" max="15639" width="7.7109375" style="1" bestFit="1" customWidth="1"/>
    <col min="15640" max="15640" width="21.42578125" style="1" bestFit="1" customWidth="1"/>
    <col min="15641" max="15872" width="9.140625" style="1"/>
    <col min="15873" max="15873" width="25.140625" style="1" customWidth="1"/>
    <col min="15874" max="15874" width="21.85546875" style="1" customWidth="1"/>
    <col min="15875" max="15875" width="22.42578125" style="1" bestFit="1" customWidth="1"/>
    <col min="15876" max="15876" width="17.85546875" style="1" bestFit="1" customWidth="1"/>
    <col min="15877" max="15877" width="19.42578125" style="1" customWidth="1"/>
    <col min="15878" max="15878" width="18.7109375" style="1" bestFit="1" customWidth="1"/>
    <col min="15879" max="15879" width="21" style="1" customWidth="1"/>
    <col min="15880" max="15880" width="20" style="1" bestFit="1" customWidth="1"/>
    <col min="15881" max="15881" width="20.85546875" style="1" bestFit="1" customWidth="1"/>
    <col min="15882" max="15882" width="13.7109375" style="1" customWidth="1"/>
    <col min="15883" max="15884" width="17.7109375" style="1" bestFit="1" customWidth="1"/>
    <col min="15885" max="15885" width="16" style="1" bestFit="1" customWidth="1"/>
    <col min="15886" max="15886" width="21.42578125" style="1" bestFit="1" customWidth="1"/>
    <col min="15887" max="15887" width="23.28515625" style="1" customWidth="1"/>
    <col min="15888" max="15888" width="16" style="1" bestFit="1" customWidth="1"/>
    <col min="15889" max="15890" width="9.140625" style="1"/>
    <col min="15891" max="15891" width="23.42578125" style="1" bestFit="1" customWidth="1"/>
    <col min="15892" max="15892" width="12.5703125" style="1" bestFit="1" customWidth="1"/>
    <col min="15893" max="15894" width="21" style="1" bestFit="1" customWidth="1"/>
    <col min="15895" max="15895" width="7.7109375" style="1" bestFit="1" customWidth="1"/>
    <col min="15896" max="15896" width="21.42578125" style="1" bestFit="1" customWidth="1"/>
    <col min="15897" max="16128" width="9.140625" style="1"/>
    <col min="16129" max="16129" width="25.140625" style="1" customWidth="1"/>
    <col min="16130" max="16130" width="21.85546875" style="1" customWidth="1"/>
    <col min="16131" max="16131" width="22.42578125" style="1" bestFit="1" customWidth="1"/>
    <col min="16132" max="16132" width="17.85546875" style="1" bestFit="1" customWidth="1"/>
    <col min="16133" max="16133" width="19.42578125" style="1" customWidth="1"/>
    <col min="16134" max="16134" width="18.7109375" style="1" bestFit="1" customWidth="1"/>
    <col min="16135" max="16135" width="21" style="1" customWidth="1"/>
    <col min="16136" max="16136" width="20" style="1" bestFit="1" customWidth="1"/>
    <col min="16137" max="16137" width="20.85546875" style="1" bestFit="1" customWidth="1"/>
    <col min="16138" max="16138" width="13.7109375" style="1" customWidth="1"/>
    <col min="16139" max="16140" width="17.7109375" style="1" bestFit="1" customWidth="1"/>
    <col min="16141" max="16141" width="16" style="1" bestFit="1" customWidth="1"/>
    <col min="16142" max="16142" width="21.42578125" style="1" bestFit="1" customWidth="1"/>
    <col min="16143" max="16143" width="23.28515625" style="1" customWidth="1"/>
    <col min="16144" max="16144" width="16" style="1" bestFit="1" customWidth="1"/>
    <col min="16145" max="16146" width="9.140625" style="1"/>
    <col min="16147" max="16147" width="23.42578125" style="1" bestFit="1" customWidth="1"/>
    <col min="16148" max="16148" width="12.5703125" style="1" bestFit="1" customWidth="1"/>
    <col min="16149" max="16150" width="21" style="1" bestFit="1" customWidth="1"/>
    <col min="16151" max="16151" width="7.7109375" style="1" bestFit="1" customWidth="1"/>
    <col min="16152" max="16152" width="21.42578125" style="1" bestFit="1" customWidth="1"/>
    <col min="16153" max="16384" width="9.140625" style="1"/>
  </cols>
  <sheetData>
    <row r="1" spans="1:15">
      <c r="A1" s="3" t="s">
        <v>0</v>
      </c>
    </row>
    <row r="3" spans="1:15">
      <c r="B3" s="2" t="s">
        <v>1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</row>
    <row r="4" spans="1:15" ht="15">
      <c r="A4" s="3">
        <v>1</v>
      </c>
      <c r="B4" s="4">
        <v>1749038</v>
      </c>
      <c r="C4" s="5">
        <v>225633.09</v>
      </c>
      <c r="D4" s="5">
        <v>619848.62</v>
      </c>
      <c r="E4" s="5">
        <v>660077.94999999995</v>
      </c>
      <c r="F4" s="5">
        <v>203140.33</v>
      </c>
      <c r="G4" s="5">
        <v>23545.599999999999</v>
      </c>
      <c r="H4" s="5">
        <v>20326.59</v>
      </c>
      <c r="I4" s="5">
        <v>32575.11</v>
      </c>
      <c r="J4" s="5">
        <v>33871.79</v>
      </c>
      <c r="K4" s="5">
        <v>120880.86</v>
      </c>
      <c r="L4" s="5">
        <v>14297.4</v>
      </c>
      <c r="M4" s="5">
        <v>0</v>
      </c>
      <c r="N4" s="6">
        <f>SUM(C4:M4)</f>
        <v>1954197.3400000003</v>
      </c>
      <c r="O4" s="4">
        <f>AVERAGE(O5:O12)</f>
        <v>903.28529296875001</v>
      </c>
    </row>
    <row r="5" spans="1:15" ht="15">
      <c r="A5" s="3">
        <f>A4+1</f>
        <v>2</v>
      </c>
      <c r="B5" s="4">
        <v>2358629</v>
      </c>
      <c r="C5" s="5">
        <v>296370.38</v>
      </c>
      <c r="D5" s="5">
        <v>906405.77</v>
      </c>
      <c r="E5" s="5">
        <v>427834.62</v>
      </c>
      <c r="F5" s="5">
        <v>178645.92</v>
      </c>
      <c r="G5" s="5">
        <v>84963.45</v>
      </c>
      <c r="H5" s="5">
        <v>101615.9</v>
      </c>
      <c r="I5" s="5">
        <v>83971.23</v>
      </c>
      <c r="J5" s="5">
        <v>17071.810000000001</v>
      </c>
      <c r="K5" s="5">
        <v>30399.599999999999</v>
      </c>
      <c r="L5" s="5">
        <v>2721.7</v>
      </c>
      <c r="M5" s="5"/>
      <c r="N5" s="6">
        <f t="shared" ref="N5:N12" si="0">SUM(C5:M5)</f>
        <v>2130000.38</v>
      </c>
      <c r="O5" s="4">
        <f>AVERAGE(O6:O13)</f>
        <v>896.18359375</v>
      </c>
    </row>
    <row r="6" spans="1:15" ht="15">
      <c r="A6" s="3">
        <f t="shared" ref="A6:A14" si="1">A5+1</f>
        <v>3</v>
      </c>
      <c r="B6" s="4">
        <v>2617002</v>
      </c>
      <c r="C6" s="5">
        <v>303406.78000000003</v>
      </c>
      <c r="D6" s="5">
        <v>933580.51999999897</v>
      </c>
      <c r="E6" s="5">
        <v>450685.77</v>
      </c>
      <c r="F6" s="5">
        <v>249243.62</v>
      </c>
      <c r="G6" s="5">
        <v>27045.34</v>
      </c>
      <c r="H6" s="5">
        <v>98584.2</v>
      </c>
      <c r="I6" s="5">
        <v>7295</v>
      </c>
      <c r="J6" s="5">
        <v>2334</v>
      </c>
      <c r="K6" s="5">
        <v>374</v>
      </c>
      <c r="L6" s="5"/>
      <c r="M6" s="5"/>
      <c r="N6" s="6">
        <f t="shared" si="0"/>
        <v>2072549.2299999991</v>
      </c>
      <c r="O6" s="4">
        <f>AVERAGE(O7:O14)</f>
        <v>886.52875000000006</v>
      </c>
    </row>
    <row r="7" spans="1:15" ht="15">
      <c r="A7" s="3">
        <f t="shared" si="1"/>
        <v>4</v>
      </c>
      <c r="B7" s="4">
        <v>3159899</v>
      </c>
      <c r="C7" s="5">
        <v>273405.19</v>
      </c>
      <c r="D7" s="5">
        <v>1621091.09</v>
      </c>
      <c r="E7" s="5">
        <v>1310028.57</v>
      </c>
      <c r="F7" s="5">
        <v>910789.7</v>
      </c>
      <c r="G7" s="5">
        <v>439713.59</v>
      </c>
      <c r="H7" s="5">
        <v>234867.85</v>
      </c>
      <c r="I7" s="5">
        <v>140857.51</v>
      </c>
      <c r="J7" s="5">
        <v>86572.37</v>
      </c>
      <c r="K7" s="5"/>
      <c r="L7" s="5"/>
      <c r="M7" s="5"/>
      <c r="N7" s="6">
        <f t="shared" si="0"/>
        <v>5017325.8699999992</v>
      </c>
      <c r="O7" s="4">
        <f>930.33</f>
        <v>930.33</v>
      </c>
    </row>
    <row r="8" spans="1:15" ht="15">
      <c r="A8" s="3">
        <f t="shared" si="1"/>
        <v>5</v>
      </c>
      <c r="B8" s="4">
        <v>3480946</v>
      </c>
      <c r="C8" s="5">
        <v>285736.67</v>
      </c>
      <c r="D8" s="5">
        <v>778189.179999999</v>
      </c>
      <c r="E8" s="5">
        <v>491469.56</v>
      </c>
      <c r="F8" s="5">
        <v>186237.85</v>
      </c>
      <c r="G8" s="5">
        <v>42922.080000000002</v>
      </c>
      <c r="H8" s="5">
        <v>35382.19</v>
      </c>
      <c r="I8" s="5">
        <v>25244.59</v>
      </c>
      <c r="J8" s="5"/>
      <c r="K8" s="5"/>
      <c r="L8" s="5"/>
      <c r="M8" s="5"/>
      <c r="N8" s="6">
        <f t="shared" si="0"/>
        <v>1845182.1199999992</v>
      </c>
      <c r="O8" s="4">
        <f>867.23</f>
        <v>867.23</v>
      </c>
    </row>
    <row r="9" spans="1:15" ht="15">
      <c r="A9" s="3">
        <f t="shared" si="1"/>
        <v>6</v>
      </c>
      <c r="B9" s="4">
        <v>3561378</v>
      </c>
      <c r="C9" s="5">
        <v>358053.53</v>
      </c>
      <c r="D9" s="5">
        <v>1364101.1200000001</v>
      </c>
      <c r="E9" s="5">
        <v>1491555.72</v>
      </c>
      <c r="F9" s="5">
        <v>1117383.97</v>
      </c>
      <c r="G9" s="5">
        <v>802263.85</v>
      </c>
      <c r="H9" s="5">
        <v>434305.08</v>
      </c>
      <c r="I9" s="5"/>
      <c r="J9" s="5"/>
      <c r="K9" s="5"/>
      <c r="L9" s="5"/>
      <c r="M9" s="5"/>
      <c r="N9" s="6">
        <f t="shared" si="0"/>
        <v>5567663.2699999996</v>
      </c>
      <c r="O9" s="4">
        <f>878.28</f>
        <v>878.28</v>
      </c>
    </row>
    <row r="10" spans="1:15" ht="15">
      <c r="A10" s="3">
        <f t="shared" si="1"/>
        <v>7</v>
      </c>
      <c r="B10" s="4">
        <v>3703335</v>
      </c>
      <c r="C10" s="5">
        <v>349259.47</v>
      </c>
      <c r="D10" s="5">
        <v>868717.14999999898</v>
      </c>
      <c r="E10" s="5">
        <v>1166016.21</v>
      </c>
      <c r="F10" s="5">
        <v>426748.79</v>
      </c>
      <c r="G10" s="5">
        <v>400138.82</v>
      </c>
      <c r="H10" s="5"/>
      <c r="I10" s="5"/>
      <c r="J10" s="5"/>
      <c r="K10" s="5"/>
      <c r="L10" s="5"/>
      <c r="M10" s="5"/>
      <c r="N10" s="6">
        <f t="shared" si="0"/>
        <v>3210880.439999999</v>
      </c>
      <c r="O10" s="4">
        <f>945.97</f>
        <v>945.97</v>
      </c>
    </row>
    <row r="11" spans="1:15" ht="15">
      <c r="A11" s="3">
        <f t="shared" si="1"/>
        <v>8</v>
      </c>
      <c r="B11" s="4">
        <v>3879841</v>
      </c>
      <c r="C11" s="5">
        <v>187509.33</v>
      </c>
      <c r="D11" s="5">
        <v>879652.59</v>
      </c>
      <c r="E11" s="5">
        <v>620731.48</v>
      </c>
      <c r="F11" s="5">
        <v>180028.51</v>
      </c>
      <c r="G11" s="5"/>
      <c r="H11" s="5"/>
      <c r="I11" s="5"/>
      <c r="J11" s="5"/>
      <c r="K11" s="5"/>
      <c r="L11" s="5"/>
      <c r="M11" s="5"/>
      <c r="N11" s="6">
        <f t="shared" si="0"/>
        <v>1867921.91</v>
      </c>
      <c r="O11" s="4">
        <f>925.58</f>
        <v>925.58</v>
      </c>
    </row>
    <row r="12" spans="1:15" ht="15">
      <c r="A12" s="3">
        <f t="shared" si="1"/>
        <v>9</v>
      </c>
      <c r="B12" s="4">
        <v>3857307</v>
      </c>
      <c r="C12" s="5">
        <v>237751.62</v>
      </c>
      <c r="D12" s="5">
        <v>917758.6</v>
      </c>
      <c r="E12" s="5">
        <v>1014381.91</v>
      </c>
      <c r="F12" s="5"/>
      <c r="G12" s="5"/>
      <c r="H12" s="5"/>
      <c r="I12" s="5"/>
      <c r="J12" s="5"/>
      <c r="K12" s="5"/>
      <c r="L12" s="5"/>
      <c r="M12" s="5"/>
      <c r="N12" s="6">
        <f t="shared" si="0"/>
        <v>2169892.13</v>
      </c>
      <c r="O12" s="4">
        <f>896.18</f>
        <v>896.18</v>
      </c>
    </row>
    <row r="13" spans="1:15" ht="15">
      <c r="A13" s="3">
        <f t="shared" si="1"/>
        <v>10</v>
      </c>
      <c r="B13" s="4">
        <v>3451561</v>
      </c>
      <c r="C13" s="5">
        <v>375578.1</v>
      </c>
      <c r="D13" s="5">
        <v>1768251.7275</v>
      </c>
      <c r="E13" s="5"/>
      <c r="F13" s="5"/>
      <c r="G13" s="5"/>
      <c r="H13" s="5"/>
      <c r="I13" s="5"/>
      <c r="J13" s="5"/>
      <c r="K13" s="5"/>
      <c r="L13" s="5"/>
      <c r="M13" s="5"/>
      <c r="O13" s="4">
        <f>839.37</f>
        <v>839.37</v>
      </c>
    </row>
    <row r="14" spans="1:15" ht="15">
      <c r="A14" s="3">
        <f t="shared" si="1"/>
        <v>11</v>
      </c>
      <c r="B14" s="4">
        <v>3774444</v>
      </c>
      <c r="C14" s="5">
        <v>993320.57750000001</v>
      </c>
      <c r="D14" s="5"/>
      <c r="E14" s="5"/>
      <c r="F14" s="5"/>
      <c r="G14" s="5"/>
      <c r="H14" s="5"/>
      <c r="I14" s="5"/>
      <c r="J14" s="5"/>
      <c r="K14" s="5"/>
      <c r="L14" s="5"/>
      <c r="M14" s="5"/>
      <c r="O14" s="4">
        <f>809.29</f>
        <v>809.29</v>
      </c>
    </row>
    <row r="15" spans="1:15">
      <c r="C15" s="4"/>
    </row>
    <row r="16" spans="1:15">
      <c r="A16" s="3" t="s">
        <v>2</v>
      </c>
    </row>
    <row r="18" spans="1:13">
      <c r="C18" s="3">
        <v>0</v>
      </c>
      <c r="D18" s="3">
        <v>1</v>
      </c>
      <c r="E18" s="3">
        <v>2</v>
      </c>
      <c r="F18" s="3">
        <v>3</v>
      </c>
      <c r="G18" s="3">
        <v>4</v>
      </c>
      <c r="H18" s="3">
        <v>5</v>
      </c>
      <c r="I18" s="3">
        <v>6</v>
      </c>
      <c r="J18" s="3">
        <v>7</v>
      </c>
      <c r="K18" s="3">
        <v>8</v>
      </c>
      <c r="L18" s="3">
        <v>9</v>
      </c>
      <c r="M18" s="3">
        <v>10</v>
      </c>
    </row>
    <row r="19" spans="1:13">
      <c r="A19" s="3">
        <v>1</v>
      </c>
      <c r="C19" s="4">
        <f>C4*1000000/$B4</f>
        <v>129004.10968772547</v>
      </c>
      <c r="D19" s="4">
        <f t="shared" ref="D19:L28" si="2">D4*1000000/$B4</f>
        <v>354394.02688792354</v>
      </c>
      <c r="E19" s="4">
        <f t="shared" si="2"/>
        <v>377394.85934553738</v>
      </c>
      <c r="F19" s="4">
        <f t="shared" si="2"/>
        <v>116144.03460645223</v>
      </c>
      <c r="G19" s="4">
        <f t="shared" si="2"/>
        <v>13462.028840997165</v>
      </c>
      <c r="H19" s="4">
        <f t="shared" si="2"/>
        <v>11621.58283582175</v>
      </c>
      <c r="I19" s="4">
        <f t="shared" si="2"/>
        <v>18624.586772843129</v>
      </c>
      <c r="J19" s="4">
        <f t="shared" si="2"/>
        <v>19365.954313171012</v>
      </c>
      <c r="K19" s="4">
        <f t="shared" si="2"/>
        <v>69112.769419532342</v>
      </c>
      <c r="L19" s="4">
        <f t="shared" si="2"/>
        <v>8174.4364616434859</v>
      </c>
      <c r="M19" s="4">
        <f>M4*1000000/$B4</f>
        <v>0</v>
      </c>
    </row>
    <row r="20" spans="1:13">
      <c r="A20" s="3">
        <f>A19+1</f>
        <v>2</v>
      </c>
      <c r="C20" s="4">
        <f t="shared" ref="C20:C29" si="3">C5*1000000/$B5</f>
        <v>125653.665752435</v>
      </c>
      <c r="D20" s="4">
        <f t="shared" si="2"/>
        <v>384293.48998931161</v>
      </c>
      <c r="E20" s="4">
        <f t="shared" si="2"/>
        <v>181391.23194025003</v>
      </c>
      <c r="F20" s="4">
        <f t="shared" si="2"/>
        <v>75741.42436135569</v>
      </c>
      <c r="G20" s="4">
        <f t="shared" si="2"/>
        <v>36022.388429888721</v>
      </c>
      <c r="H20" s="4">
        <f t="shared" si="2"/>
        <v>43082.612822957744</v>
      </c>
      <c r="I20" s="4">
        <f t="shared" si="2"/>
        <v>35601.71184192173</v>
      </c>
      <c r="J20" s="4">
        <f t="shared" si="2"/>
        <v>7238.0225970256461</v>
      </c>
      <c r="K20" s="4">
        <f t="shared" si="2"/>
        <v>12888.673886397564</v>
      </c>
      <c r="L20" s="4">
        <f t="shared" si="2"/>
        <v>1153.933068744597</v>
      </c>
    </row>
    <row r="21" spans="1:13">
      <c r="A21" s="3">
        <f t="shared" ref="A21:A29" si="4">A20+1</f>
        <v>3</v>
      </c>
      <c r="C21" s="4">
        <f t="shared" si="3"/>
        <v>115936.77803838132</v>
      </c>
      <c r="D21" s="4">
        <f t="shared" si="2"/>
        <v>356736.6475073382</v>
      </c>
      <c r="E21" s="4">
        <f t="shared" si="2"/>
        <v>172214.5302143445</v>
      </c>
      <c r="F21" s="4">
        <f t="shared" si="2"/>
        <v>95240.133557406531</v>
      </c>
      <c r="G21" s="4">
        <f t="shared" si="2"/>
        <v>10334.474333607694</v>
      </c>
      <c r="H21" s="4">
        <f t="shared" si="2"/>
        <v>37670.662842443373</v>
      </c>
      <c r="I21" s="4">
        <f t="shared" si="2"/>
        <v>2787.5408578212778</v>
      </c>
      <c r="J21" s="4">
        <f t="shared" si="2"/>
        <v>891.86022784850752</v>
      </c>
      <c r="K21" s="4">
        <f t="shared" si="2"/>
        <v>142.91162177178313</v>
      </c>
    </row>
    <row r="22" spans="1:13">
      <c r="A22" s="3">
        <f t="shared" si="4"/>
        <v>4</v>
      </c>
      <c r="C22" s="4">
        <f t="shared" si="3"/>
        <v>86523.395209783601</v>
      </c>
      <c r="D22" s="4">
        <f t="shared" si="2"/>
        <v>513019.90664891503</v>
      </c>
      <c r="E22" s="4">
        <f t="shared" si="2"/>
        <v>414579.25395716762</v>
      </c>
      <c r="F22" s="4">
        <f t="shared" si="2"/>
        <v>288233.80114364414</v>
      </c>
      <c r="G22" s="4">
        <f t="shared" si="2"/>
        <v>139154.31790699638</v>
      </c>
      <c r="H22" s="4">
        <f t="shared" si="2"/>
        <v>74327.644649401773</v>
      </c>
      <c r="I22" s="4">
        <f t="shared" si="2"/>
        <v>44576.586150380121</v>
      </c>
      <c r="J22" s="4">
        <f t="shared" si="2"/>
        <v>27397.195290102627</v>
      </c>
    </row>
    <row r="23" spans="1:13">
      <c r="A23" s="3">
        <f t="shared" si="4"/>
        <v>5</v>
      </c>
      <c r="C23" s="4">
        <f t="shared" si="3"/>
        <v>82085.924343554885</v>
      </c>
      <c r="D23" s="4">
        <f t="shared" si="2"/>
        <v>223556.80898238556</v>
      </c>
      <c r="E23" s="4">
        <f t="shared" si="2"/>
        <v>141188.50450423534</v>
      </c>
      <c r="F23" s="4">
        <f t="shared" si="2"/>
        <v>53502.079607095315</v>
      </c>
      <c r="G23" s="4">
        <f t="shared" si="2"/>
        <v>12330.579101198353</v>
      </c>
      <c r="H23" s="4">
        <f t="shared" si="2"/>
        <v>10164.532859745597</v>
      </c>
      <c r="I23" s="4">
        <f t="shared" si="2"/>
        <v>7252.2210916227941</v>
      </c>
    </row>
    <row r="24" spans="1:13">
      <c r="A24" s="3">
        <f t="shared" si="4"/>
        <v>6</v>
      </c>
      <c r="C24" s="4">
        <f t="shared" si="3"/>
        <v>100537.91818784751</v>
      </c>
      <c r="D24" s="4">
        <f t="shared" si="2"/>
        <v>383026.21064093732</v>
      </c>
      <c r="E24" s="4">
        <f t="shared" si="2"/>
        <v>418814.21180228551</v>
      </c>
      <c r="F24" s="4">
        <f t="shared" si="2"/>
        <v>313750.45558208087</v>
      </c>
      <c r="G24" s="4">
        <f t="shared" si="2"/>
        <v>225267.81768180744</v>
      </c>
      <c r="H24" s="4">
        <f t="shared" si="2"/>
        <v>121948.60528705461</v>
      </c>
    </row>
    <row r="25" spans="1:13">
      <c r="A25" s="3">
        <f t="shared" si="4"/>
        <v>7</v>
      </c>
      <c r="C25" s="4">
        <f t="shared" si="3"/>
        <v>94309.445405290098</v>
      </c>
      <c r="D25" s="4">
        <f t="shared" si="2"/>
        <v>234576.98263862141</v>
      </c>
      <c r="E25" s="4">
        <f t="shared" si="2"/>
        <v>314855.72058698442</v>
      </c>
      <c r="F25" s="4">
        <f t="shared" si="2"/>
        <v>115233.64480934077</v>
      </c>
      <c r="G25" s="4">
        <f t="shared" si="2"/>
        <v>108048.23760205328</v>
      </c>
    </row>
    <row r="26" spans="1:13">
      <c r="A26" s="3">
        <f t="shared" si="4"/>
        <v>8</v>
      </c>
      <c r="C26" s="4">
        <f t="shared" si="3"/>
        <v>48329.127404963241</v>
      </c>
      <c r="D26" s="4">
        <f t="shared" si="2"/>
        <v>226723.87605574558</v>
      </c>
      <c r="E26" s="4">
        <f t="shared" si="2"/>
        <v>159988.89645219999</v>
      </c>
      <c r="F26" s="4">
        <f t="shared" si="2"/>
        <v>46401.001999824221</v>
      </c>
    </row>
    <row r="27" spans="1:13">
      <c r="A27" s="3">
        <f t="shared" si="4"/>
        <v>9</v>
      </c>
      <c r="C27" s="4">
        <f t="shared" si="3"/>
        <v>61636.685905477578</v>
      </c>
      <c r="D27" s="4">
        <f t="shared" si="2"/>
        <v>237927.28968682035</v>
      </c>
      <c r="E27" s="4">
        <f t="shared" si="2"/>
        <v>262976.71147253772</v>
      </c>
    </row>
    <row r="28" spans="1:13">
      <c r="A28" s="3">
        <f t="shared" si="4"/>
        <v>10</v>
      </c>
      <c r="C28" s="4">
        <f t="shared" si="3"/>
        <v>108813.98300652951</v>
      </c>
      <c r="D28" s="4">
        <f t="shared" si="2"/>
        <v>512304.93318820093</v>
      </c>
    </row>
    <row r="29" spans="1:13">
      <c r="A29" s="3">
        <f t="shared" si="4"/>
        <v>11</v>
      </c>
      <c r="C29" s="4">
        <f t="shared" si="3"/>
        <v>263170.03974625136</v>
      </c>
    </row>
    <row r="30" spans="1:13">
      <c r="C30" s="4"/>
    </row>
    <row r="31" spans="1:13">
      <c r="A31" s="7" t="s">
        <v>3</v>
      </c>
      <c r="C31" s="4">
        <f>AVERAGE(C19:C29)</f>
        <v>110545.55206256724</v>
      </c>
      <c r="D31" s="4">
        <f t="shared" ref="D31:M31" si="5">AVERAGE(D19:D29)</f>
        <v>342656.01722261996</v>
      </c>
      <c r="E31" s="4">
        <f t="shared" si="5"/>
        <v>271489.32447506033</v>
      </c>
      <c r="F31" s="4">
        <f t="shared" si="5"/>
        <v>138030.82195839999</v>
      </c>
      <c r="G31" s="4">
        <f t="shared" si="5"/>
        <v>77802.834842364158</v>
      </c>
      <c r="H31" s="4">
        <f t="shared" si="5"/>
        <v>49802.60688290414</v>
      </c>
      <c r="I31" s="4">
        <f t="shared" si="5"/>
        <v>21768.529342917809</v>
      </c>
      <c r="J31" s="4">
        <f t="shared" si="5"/>
        <v>13723.258107036949</v>
      </c>
      <c r="K31" s="4">
        <f t="shared" si="5"/>
        <v>27381.45164256723</v>
      </c>
      <c r="L31" s="4">
        <f t="shared" si="5"/>
        <v>4664.1847651940416</v>
      </c>
      <c r="M31" s="4">
        <f t="shared" si="5"/>
        <v>0</v>
      </c>
    </row>
    <row r="33" spans="1:13">
      <c r="A33" s="3" t="s">
        <v>4</v>
      </c>
    </row>
    <row r="35" spans="1:13">
      <c r="C35" s="3">
        <v>0</v>
      </c>
      <c r="D35" s="3">
        <v>1</v>
      </c>
      <c r="E35" s="3">
        <v>2</v>
      </c>
      <c r="F35" s="3">
        <v>3</v>
      </c>
      <c r="G35" s="3">
        <v>4</v>
      </c>
      <c r="H35" s="3">
        <v>5</v>
      </c>
      <c r="I35" s="3">
        <v>6</v>
      </c>
      <c r="J35" s="3">
        <v>7</v>
      </c>
      <c r="K35" s="3">
        <v>8</v>
      </c>
      <c r="L35" s="3">
        <v>9</v>
      </c>
      <c r="M35" s="3">
        <v>10</v>
      </c>
    </row>
    <row r="36" spans="1:13">
      <c r="A36" s="3">
        <v>1</v>
      </c>
      <c r="C36" s="4">
        <f>C19-C$31</f>
        <v>18458.557625158239</v>
      </c>
      <c r="D36" s="4">
        <f t="shared" ref="D36:L45" si="6">D19-D$31</f>
        <v>11738.009665303573</v>
      </c>
      <c r="E36" s="4">
        <f t="shared" si="6"/>
        <v>105905.53487047704</v>
      </c>
      <c r="F36" s="4">
        <f t="shared" si="6"/>
        <v>-21886.787351947758</v>
      </c>
      <c r="G36" s="4">
        <f t="shared" si="6"/>
        <v>-64340.806001366989</v>
      </c>
      <c r="H36" s="4">
        <f t="shared" si="6"/>
        <v>-38181.024047082392</v>
      </c>
      <c r="I36" s="4">
        <f t="shared" si="6"/>
        <v>-3143.9425700746797</v>
      </c>
      <c r="J36" s="4">
        <f t="shared" si="6"/>
        <v>5642.6962061340637</v>
      </c>
      <c r="K36" s="4">
        <f t="shared" si="6"/>
        <v>41731.317776965108</v>
      </c>
      <c r="L36" s="4">
        <f t="shared" si="6"/>
        <v>3510.2516964494444</v>
      </c>
      <c r="M36" s="4">
        <f>M19-M$31</f>
        <v>0</v>
      </c>
    </row>
    <row r="37" spans="1:13">
      <c r="A37" s="3">
        <f>A36+1</f>
        <v>2</v>
      </c>
      <c r="C37" s="4">
        <f t="shared" ref="C37:C46" si="7">C20-C$31</f>
        <v>15108.113689867765</v>
      </c>
      <c r="D37" s="4">
        <f t="shared" si="6"/>
        <v>41637.472766691644</v>
      </c>
      <c r="E37" s="4">
        <f t="shared" si="6"/>
        <v>-90098.092534810305</v>
      </c>
      <c r="F37" s="4">
        <f t="shared" si="6"/>
        <v>-62289.397597044299</v>
      </c>
      <c r="G37" s="4">
        <f t="shared" si="6"/>
        <v>-41780.446412475438</v>
      </c>
      <c r="H37" s="4">
        <f t="shared" si="6"/>
        <v>-6719.9940599463953</v>
      </c>
      <c r="I37" s="4">
        <f t="shared" si="6"/>
        <v>13833.18249900392</v>
      </c>
      <c r="J37" s="4">
        <f t="shared" si="6"/>
        <v>-6485.2355100113027</v>
      </c>
      <c r="K37" s="4">
        <f t="shared" si="6"/>
        <v>-14492.777756169666</v>
      </c>
      <c r="L37" s="4">
        <f t="shared" si="6"/>
        <v>-3510.2516964494444</v>
      </c>
    </row>
    <row r="38" spans="1:13">
      <c r="A38" s="3">
        <f t="shared" ref="A38:A46" si="8">A37+1</f>
        <v>3</v>
      </c>
      <c r="C38" s="4">
        <f t="shared" si="7"/>
        <v>5391.2259758140863</v>
      </c>
      <c r="D38" s="4">
        <f t="shared" si="6"/>
        <v>14080.630284718238</v>
      </c>
      <c r="E38" s="4">
        <f t="shared" si="6"/>
        <v>-99274.794260715833</v>
      </c>
      <c r="F38" s="4">
        <f t="shared" si="6"/>
        <v>-42790.688400993458</v>
      </c>
      <c r="G38" s="4">
        <f t="shared" si="6"/>
        <v>-67468.360508756465</v>
      </c>
      <c r="H38" s="4">
        <f t="shared" si="6"/>
        <v>-12131.944040460767</v>
      </c>
      <c r="I38" s="4">
        <f t="shared" si="6"/>
        <v>-18980.988485096532</v>
      </c>
      <c r="J38" s="4">
        <f t="shared" si="6"/>
        <v>-12831.397879188442</v>
      </c>
      <c r="K38" s="4">
        <f t="shared" si="6"/>
        <v>-27238.540020795448</v>
      </c>
    </row>
    <row r="39" spans="1:13">
      <c r="A39" s="3">
        <f t="shared" si="8"/>
        <v>4</v>
      </c>
      <c r="C39" s="4">
        <f t="shared" si="7"/>
        <v>-24022.156852783635</v>
      </c>
      <c r="D39" s="4">
        <f t="shared" si="6"/>
        <v>170363.88942629506</v>
      </c>
      <c r="E39" s="4">
        <f t="shared" si="6"/>
        <v>143089.92948210728</v>
      </c>
      <c r="F39" s="4">
        <f t="shared" si="6"/>
        <v>150202.97918524416</v>
      </c>
      <c r="G39" s="4">
        <f t="shared" si="6"/>
        <v>61351.483064632223</v>
      </c>
      <c r="H39" s="4">
        <f t="shared" si="6"/>
        <v>24525.037766497633</v>
      </c>
      <c r="I39" s="4">
        <f t="shared" si="6"/>
        <v>22808.056807462312</v>
      </c>
      <c r="J39" s="4">
        <f t="shared" si="6"/>
        <v>13673.937183065678</v>
      </c>
    </row>
    <row r="40" spans="1:13">
      <c r="A40" s="3">
        <f t="shared" si="8"/>
        <v>5</v>
      </c>
      <c r="C40" s="4">
        <f t="shared" si="7"/>
        <v>-28459.627719012351</v>
      </c>
      <c r="D40" s="4">
        <f t="shared" si="6"/>
        <v>-119099.20824023441</v>
      </c>
      <c r="E40" s="4">
        <f t="shared" si="6"/>
        <v>-130300.81997082499</v>
      </c>
      <c r="F40" s="4">
        <f t="shared" si="6"/>
        <v>-84528.742351304682</v>
      </c>
      <c r="G40" s="4">
        <f t="shared" si="6"/>
        <v>-65472.255741165805</v>
      </c>
      <c r="H40" s="4">
        <f t="shared" si="6"/>
        <v>-39638.074023158544</v>
      </c>
      <c r="I40" s="4">
        <f t="shared" si="6"/>
        <v>-14516.308251295015</v>
      </c>
    </row>
    <row r="41" spans="1:13">
      <c r="A41" s="3">
        <f t="shared" si="8"/>
        <v>6</v>
      </c>
      <c r="C41" s="4">
        <f t="shared" si="7"/>
        <v>-10007.63387471973</v>
      </c>
      <c r="D41" s="4">
        <f t="shared" si="6"/>
        <v>40370.193418317358</v>
      </c>
      <c r="E41" s="4">
        <f t="shared" si="6"/>
        <v>147324.88732722518</v>
      </c>
      <c r="F41" s="4">
        <f t="shared" si="6"/>
        <v>175719.63362368089</v>
      </c>
      <c r="G41" s="4">
        <f t="shared" si="6"/>
        <v>147464.98283944328</v>
      </c>
      <c r="H41" s="4">
        <f t="shared" si="6"/>
        <v>72145.998404150479</v>
      </c>
    </row>
    <row r="42" spans="1:13">
      <c r="A42" s="3">
        <f t="shared" si="8"/>
        <v>7</v>
      </c>
      <c r="C42" s="4">
        <f t="shared" si="7"/>
        <v>-16236.106657277138</v>
      </c>
      <c r="D42" s="4">
        <f t="shared" si="6"/>
        <v>-108079.03458399855</v>
      </c>
      <c r="E42" s="4">
        <f t="shared" si="6"/>
        <v>43366.396111924085</v>
      </c>
      <c r="F42" s="4">
        <f t="shared" si="6"/>
        <v>-22797.177149059222</v>
      </c>
      <c r="G42" s="4">
        <f t="shared" si="6"/>
        <v>30245.402759689125</v>
      </c>
    </row>
    <row r="43" spans="1:13">
      <c r="A43" s="3">
        <f t="shared" si="8"/>
        <v>8</v>
      </c>
      <c r="C43" s="4">
        <f t="shared" si="7"/>
        <v>-62216.424657603995</v>
      </c>
      <c r="D43" s="4">
        <f t="shared" si="6"/>
        <v>-115932.14116687438</v>
      </c>
      <c r="E43" s="4">
        <f t="shared" si="6"/>
        <v>-111500.42802286035</v>
      </c>
      <c r="F43" s="4">
        <f t="shared" si="6"/>
        <v>-91629.819958575768</v>
      </c>
    </row>
    <row r="44" spans="1:13">
      <c r="A44" s="3">
        <f t="shared" si="8"/>
        <v>9</v>
      </c>
      <c r="C44" s="4">
        <f t="shared" si="7"/>
        <v>-48908.866157089658</v>
      </c>
      <c r="D44" s="4">
        <f t="shared" si="6"/>
        <v>-104728.72753579961</v>
      </c>
      <c r="E44" s="4">
        <f t="shared" si="6"/>
        <v>-8512.6130025226157</v>
      </c>
    </row>
    <row r="45" spans="1:13">
      <c r="A45" s="3">
        <f t="shared" si="8"/>
        <v>10</v>
      </c>
      <c r="C45" s="4">
        <f t="shared" si="7"/>
        <v>-1731.5690560377261</v>
      </c>
      <c r="D45" s="4">
        <f t="shared" si="6"/>
        <v>169648.91596558096</v>
      </c>
    </row>
    <row r="46" spans="1:13">
      <c r="A46" s="3">
        <f t="shared" si="8"/>
        <v>11</v>
      </c>
      <c r="C46" s="4">
        <f t="shared" si="7"/>
        <v>152624.48768368413</v>
      </c>
    </row>
    <row r="48" spans="1:13">
      <c r="A48" s="3" t="s">
        <v>5</v>
      </c>
      <c r="C48" s="4">
        <f>STDEV(C36:C45)</f>
        <v>26426.738741458077</v>
      </c>
      <c r="D48" s="4">
        <f>STDEV(D36:D45)</f>
        <v>111444.13300481914</v>
      </c>
      <c r="E48" s="4">
        <f t="shared" ref="E48:L48" si="9">STDEV(E36:E45)</f>
        <v>113320.47572124377</v>
      </c>
      <c r="F48" s="4">
        <f t="shared" si="9"/>
        <v>103984.34744812478</v>
      </c>
      <c r="G48" s="4">
        <f t="shared" si="9"/>
        <v>82813.697525500364</v>
      </c>
      <c r="H48" s="4">
        <f t="shared" si="9"/>
        <v>42491.957966409798</v>
      </c>
      <c r="I48" s="4">
        <f t="shared" si="9"/>
        <v>17975.329603272137</v>
      </c>
      <c r="J48" s="4">
        <f t="shared" si="9"/>
        <v>11909.654762915383</v>
      </c>
      <c r="K48" s="4">
        <f t="shared" si="9"/>
        <v>36697.966925677538</v>
      </c>
      <c r="L48" s="4">
        <f t="shared" si="9"/>
        <v>4964.2455564619686</v>
      </c>
    </row>
    <row r="50" spans="1:13">
      <c r="A50" s="3" t="s">
        <v>6</v>
      </c>
    </row>
    <row r="52" spans="1:13">
      <c r="C52" s="3">
        <v>0</v>
      </c>
      <c r="D52" s="3">
        <v>1</v>
      </c>
      <c r="E52" s="3">
        <v>2</v>
      </c>
      <c r="F52" s="3">
        <v>3</v>
      </c>
      <c r="G52" s="3">
        <v>4</v>
      </c>
      <c r="H52" s="3">
        <v>5</v>
      </c>
      <c r="I52" s="3">
        <v>6</v>
      </c>
      <c r="J52" s="3">
        <v>7</v>
      </c>
      <c r="K52" s="3">
        <v>8</v>
      </c>
      <c r="L52" s="3">
        <v>9</v>
      </c>
      <c r="M52" s="3">
        <v>10</v>
      </c>
    </row>
    <row r="53" spans="1:13">
      <c r="A53" s="3">
        <v>1</v>
      </c>
      <c r="C53" s="8">
        <f t="shared" ref="C53:D63" si="10">C36/C$48</f>
        <v>0.69848034620331667</v>
      </c>
      <c r="D53" s="8">
        <f>D36/D$48</f>
        <v>0.10532640300405935</v>
      </c>
      <c r="E53" s="8">
        <f t="shared" ref="E53:L61" si="11">E36/E$48</f>
        <v>0.93456662793221335</v>
      </c>
      <c r="F53" s="8">
        <f t="shared" si="11"/>
        <v>-0.21048155697535664</v>
      </c>
      <c r="G53" s="8">
        <f t="shared" si="11"/>
        <v>-0.77693434690022001</v>
      </c>
      <c r="H53" s="8">
        <f t="shared" si="11"/>
        <v>-0.89854706335878354</v>
      </c>
      <c r="I53" s="8">
        <f t="shared" si="11"/>
        <v>-0.17490319451512992</v>
      </c>
      <c r="J53" s="8">
        <f t="shared" si="11"/>
        <v>0.47379175286461278</v>
      </c>
      <c r="K53" s="8">
        <f t="shared" si="11"/>
        <v>1.1371561226124964</v>
      </c>
      <c r="L53" s="8">
        <f t="shared" si="11"/>
        <v>0.70710678118654757</v>
      </c>
      <c r="M53" s="8"/>
    </row>
    <row r="54" spans="1:13">
      <c r="A54" s="3">
        <f>A53+1</f>
        <v>2</v>
      </c>
      <c r="C54" s="8">
        <f t="shared" si="10"/>
        <v>0.5716980001836649</v>
      </c>
      <c r="D54" s="8">
        <f t="shared" si="10"/>
        <v>0.37361744978437877</v>
      </c>
      <c r="E54" s="8">
        <f t="shared" si="11"/>
        <v>-0.79507337011575874</v>
      </c>
      <c r="F54" s="8">
        <f t="shared" si="11"/>
        <v>-0.59902667204906912</v>
      </c>
      <c r="G54" s="8">
        <f t="shared" si="11"/>
        <v>-0.50451130260921162</v>
      </c>
      <c r="H54" s="8">
        <f t="shared" si="11"/>
        <v>-0.15814743263321968</v>
      </c>
      <c r="I54" s="8">
        <f t="shared" si="11"/>
        <v>0.7695648872266464</v>
      </c>
      <c r="J54" s="8">
        <f t="shared" si="11"/>
        <v>-0.54453597850755597</v>
      </c>
      <c r="K54" s="8">
        <f t="shared" si="11"/>
        <v>-0.39492045391836356</v>
      </c>
      <c r="L54" s="8">
        <f t="shared" si="11"/>
        <v>-0.70710678118654757</v>
      </c>
    </row>
    <row r="55" spans="1:13">
      <c r="A55" s="3">
        <f t="shared" ref="A55:A63" si="12">A54+1</f>
        <v>3</v>
      </c>
      <c r="C55" s="8">
        <f t="shared" si="10"/>
        <v>0.20400648103265084</v>
      </c>
      <c r="D55" s="8">
        <f t="shared" si="10"/>
        <v>0.12634698575033423</v>
      </c>
      <c r="E55" s="8">
        <f t="shared" si="11"/>
        <v>-0.87605345484889419</v>
      </c>
      <c r="F55" s="8">
        <f t="shared" si="11"/>
        <v>-0.41151086150096461</v>
      </c>
      <c r="G55" s="8">
        <f t="shared" si="11"/>
        <v>-0.81470049671410105</v>
      </c>
      <c r="H55" s="8">
        <f t="shared" si="11"/>
        <v>-0.28551153255990597</v>
      </c>
      <c r="I55" s="8">
        <f t="shared" si="11"/>
        <v>-1.0559466170590457</v>
      </c>
      <c r="J55" s="8">
        <f t="shared" si="11"/>
        <v>-1.0773946125745986</v>
      </c>
      <c r="K55" s="8">
        <f t="shared" si="11"/>
        <v>-0.74223566869413315</v>
      </c>
    </row>
    <row r="56" spans="1:13">
      <c r="A56" s="3">
        <f t="shared" si="12"/>
        <v>4</v>
      </c>
      <c r="C56" s="8">
        <f t="shared" si="10"/>
        <v>-0.90900951070053337</v>
      </c>
      <c r="D56" s="8">
        <f t="shared" si="10"/>
        <v>1.5286932100672188</v>
      </c>
      <c r="E56" s="8">
        <f t="shared" si="11"/>
        <v>1.2627014541846187</v>
      </c>
      <c r="F56" s="8">
        <f t="shared" si="11"/>
        <v>1.4444768166687463</v>
      </c>
      <c r="G56" s="8">
        <f t="shared" si="11"/>
        <v>0.74083738436797364</v>
      </c>
      <c r="H56" s="8">
        <f t="shared" si="11"/>
        <v>0.57716892655040408</v>
      </c>
      <c r="I56" s="8">
        <f t="shared" si="11"/>
        <v>1.2688533290266037</v>
      </c>
      <c r="J56" s="8">
        <f t="shared" si="11"/>
        <v>1.1481388382175415</v>
      </c>
    </row>
    <row r="57" spans="1:13">
      <c r="A57" s="3">
        <f t="shared" si="12"/>
        <v>5</v>
      </c>
      <c r="C57" s="8">
        <f t="shared" si="10"/>
        <v>-1.076925457864579</v>
      </c>
      <c r="D57" s="8">
        <f t="shared" si="10"/>
        <v>-1.0686898002525107</v>
      </c>
      <c r="E57" s="8">
        <f t="shared" si="11"/>
        <v>-1.14984356658854</v>
      </c>
      <c r="F57" s="8">
        <f t="shared" si="11"/>
        <v>-0.81289871433269301</v>
      </c>
      <c r="G57" s="8">
        <f t="shared" si="11"/>
        <v>-0.7905969386405588</v>
      </c>
      <c r="H57" s="8">
        <f t="shared" si="11"/>
        <v>-0.93283708071284288</v>
      </c>
      <c r="I57" s="8">
        <f t="shared" si="11"/>
        <v>-0.8075684046790742</v>
      </c>
    </row>
    <row r="58" spans="1:13">
      <c r="A58" s="3">
        <f t="shared" si="12"/>
        <v>6</v>
      </c>
      <c r="C58" s="8">
        <f t="shared" si="10"/>
        <v>-0.37869348816090675</v>
      </c>
      <c r="D58" s="8">
        <f t="shared" si="10"/>
        <v>0.36224601807052187</v>
      </c>
      <c r="E58" s="8">
        <f t="shared" si="11"/>
        <v>1.300072969068967</v>
      </c>
      <c r="F58" s="8">
        <f t="shared" si="11"/>
        <v>1.6898661955958618</v>
      </c>
      <c r="G58" s="8">
        <f t="shared" si="11"/>
        <v>1.7806834768370923</v>
      </c>
      <c r="H58" s="8">
        <f t="shared" si="11"/>
        <v>1.6978741827143484</v>
      </c>
    </row>
    <row r="59" spans="1:13">
      <c r="A59" s="3">
        <f t="shared" si="12"/>
        <v>7</v>
      </c>
      <c r="C59" s="8">
        <f t="shared" si="10"/>
        <v>-0.61438177506958325</v>
      </c>
      <c r="D59" s="8">
        <f t="shared" si="10"/>
        <v>-0.96980461572907495</v>
      </c>
      <c r="E59" s="8">
        <f t="shared" si="11"/>
        <v>0.38268808735502285</v>
      </c>
      <c r="F59" s="8">
        <f t="shared" si="11"/>
        <v>-0.21923662270835684</v>
      </c>
      <c r="G59" s="8">
        <f t="shared" si="11"/>
        <v>0.36522222365902485</v>
      </c>
    </row>
    <row r="60" spans="1:13">
      <c r="A60" s="3">
        <f t="shared" si="12"/>
        <v>8</v>
      </c>
      <c r="C60" s="8">
        <f t="shared" si="10"/>
        <v>-2.3542982456628034</v>
      </c>
      <c r="D60" s="8">
        <f t="shared" si="10"/>
        <v>-1.0402713722207446</v>
      </c>
      <c r="E60" s="8">
        <f t="shared" si="11"/>
        <v>-0.98393893348223715</v>
      </c>
      <c r="F60" s="8">
        <f t="shared" si="11"/>
        <v>-0.8811885846981693</v>
      </c>
    </row>
    <row r="61" spans="1:13">
      <c r="A61" s="3">
        <f t="shared" si="12"/>
        <v>9</v>
      </c>
      <c r="C61" s="8">
        <f t="shared" si="10"/>
        <v>-1.8507340854875058</v>
      </c>
      <c r="D61" s="8">
        <f t="shared" si="10"/>
        <v>-0.93974195601011012</v>
      </c>
      <c r="E61" s="8">
        <f t="shared" si="11"/>
        <v>-7.5119813505396246E-2</v>
      </c>
    </row>
    <row r="62" spans="1:13">
      <c r="A62" s="3">
        <f t="shared" si="12"/>
        <v>10</v>
      </c>
      <c r="C62" s="8">
        <f t="shared" si="10"/>
        <v>-6.5523372860278553E-2</v>
      </c>
      <c r="D62" s="8">
        <f t="shared" si="10"/>
        <v>1.5222776775359264</v>
      </c>
    </row>
    <row r="63" spans="1:13">
      <c r="A63" s="3">
        <f t="shared" si="12"/>
        <v>11</v>
      </c>
      <c r="C63" s="8">
        <f t="shared" si="10"/>
        <v>5.7753811083865578</v>
      </c>
    </row>
    <row r="65" spans="1:14">
      <c r="A65" s="3" t="s">
        <v>7</v>
      </c>
    </row>
    <row r="67" spans="1:14">
      <c r="C67" s="3">
        <v>0</v>
      </c>
      <c r="D67" s="3">
        <v>1</v>
      </c>
      <c r="E67" s="3">
        <v>2</v>
      </c>
      <c r="F67" s="3">
        <v>3</v>
      </c>
      <c r="G67" s="3">
        <v>4</v>
      </c>
      <c r="H67" s="3">
        <v>5</v>
      </c>
      <c r="I67" s="3">
        <v>6</v>
      </c>
      <c r="J67" s="3">
        <v>7</v>
      </c>
      <c r="K67" s="3">
        <v>8</v>
      </c>
      <c r="L67" s="3">
        <v>9</v>
      </c>
      <c r="M67" s="3">
        <v>10</v>
      </c>
    </row>
    <row r="68" spans="1:14">
      <c r="A68" s="3">
        <v>1</v>
      </c>
      <c r="C68" s="4">
        <f t="shared" ref="C68:M75" si="13">$B4/1000000*C$31</f>
        <v>193348.3712884085</v>
      </c>
      <c r="D68" s="4">
        <f t="shared" si="13"/>
        <v>599318.39505101682</v>
      </c>
      <c r="E68" s="4">
        <f t="shared" si="13"/>
        <v>474845.14510121063</v>
      </c>
      <c r="F68" s="4">
        <f t="shared" si="13"/>
        <v>241421.15277647602</v>
      </c>
      <c r="G68" s="4">
        <f t="shared" si="13"/>
        <v>136080.11464701893</v>
      </c>
      <c r="H68" s="4">
        <f t="shared" si="13"/>
        <v>87106.651937260889</v>
      </c>
      <c r="I68" s="4">
        <f t="shared" si="13"/>
        <v>38073.985024878282</v>
      </c>
      <c r="J68" s="4">
        <f t="shared" si="13"/>
        <v>24002.499913015694</v>
      </c>
      <c r="K68" s="4">
        <f t="shared" si="13"/>
        <v>47891.199418012504</v>
      </c>
      <c r="L68" s="4">
        <f t="shared" si="13"/>
        <v>8157.8363933454566</v>
      </c>
      <c r="M68" s="4">
        <f t="shared" si="13"/>
        <v>0</v>
      </c>
    </row>
    <row r="69" spans="1:14">
      <c r="A69" s="3">
        <f>A68+1</f>
        <v>2</v>
      </c>
      <c r="C69" s="4">
        <f t="shared" si="13"/>
        <v>260735.94491578091</v>
      </c>
      <c r="D69" s="4">
        <f t="shared" si="13"/>
        <v>808198.4192457709</v>
      </c>
      <c r="E69" s="4">
        <f t="shared" si="13"/>
        <v>640342.59389728715</v>
      </c>
      <c r="F69" s="4">
        <f t="shared" si="13"/>
        <v>325563.49956491904</v>
      </c>
      <c r="G69" s="4">
        <f t="shared" si="13"/>
        <v>183508.02254141055</v>
      </c>
      <c r="H69" s="4">
        <f t="shared" si="13"/>
        <v>117465.87286961731</v>
      </c>
      <c r="I69" s="4">
        <f t="shared" si="13"/>
        <v>51343.88459555689</v>
      </c>
      <c r="J69" s="4">
        <f t="shared" si="13"/>
        <v>32368.074545742453</v>
      </c>
      <c r="K69" s="4">
        <f t="shared" si="13"/>
        <v>64582.685906256709</v>
      </c>
      <c r="L69" s="10">
        <f t="shared" si="13"/>
        <v>11001.081448544857</v>
      </c>
      <c r="M69" s="11">
        <f t="shared" si="13"/>
        <v>0</v>
      </c>
      <c r="N69" s="4">
        <f>SUM(M69)</f>
        <v>0</v>
      </c>
    </row>
    <row r="70" spans="1:14">
      <c r="A70" s="3">
        <f t="shared" ref="A70:A78" si="14">A69+1</f>
        <v>3</v>
      </c>
      <c r="C70" s="4">
        <f t="shared" si="13"/>
        <v>289297.93083884259</v>
      </c>
      <c r="D70" s="4">
        <f t="shared" si="13"/>
        <v>896731.48238363082</v>
      </c>
      <c r="E70" s="4">
        <f t="shared" si="13"/>
        <v>710488.10512988176</v>
      </c>
      <c r="F70" s="4">
        <f t="shared" si="13"/>
        <v>361226.93712677667</v>
      </c>
      <c r="G70" s="4">
        <f t="shared" si="13"/>
        <v>203610.17438813669</v>
      </c>
      <c r="H70" s="4">
        <f t="shared" si="13"/>
        <v>130333.52181777389</v>
      </c>
      <c r="I70" s="4">
        <f t="shared" si="13"/>
        <v>56968.284827474592</v>
      </c>
      <c r="J70" s="4">
        <f t="shared" si="13"/>
        <v>35913.793912631903</v>
      </c>
      <c r="K70" s="10">
        <f t="shared" si="13"/>
        <v>71657.313711501716</v>
      </c>
      <c r="L70" s="11">
        <f t="shared" si="13"/>
        <v>12206.180858882337</v>
      </c>
      <c r="M70" s="11">
        <f t="shared" si="13"/>
        <v>0</v>
      </c>
      <c r="N70" s="4">
        <f>SUM(L70:M70)</f>
        <v>12206.180858882337</v>
      </c>
    </row>
    <row r="71" spans="1:14">
      <c r="A71" s="3">
        <f t="shared" si="14"/>
        <v>4</v>
      </c>
      <c r="C71" s="4">
        <f t="shared" si="13"/>
        <v>349312.77941695414</v>
      </c>
      <c r="D71" s="4">
        <f t="shared" si="13"/>
        <v>1082758.4061657395</v>
      </c>
      <c r="E71" s="4">
        <f t="shared" si="13"/>
        <v>857878.84491941857</v>
      </c>
      <c r="F71" s="4">
        <f t="shared" si="13"/>
        <v>436163.45627552614</v>
      </c>
      <c r="G71" s="4">
        <f t="shared" si="13"/>
        <v>245849.10001555164</v>
      </c>
      <c r="H71" s="4">
        <f t="shared" si="13"/>
        <v>157371.20768668191</v>
      </c>
      <c r="I71" s="4">
        <f t="shared" si="13"/>
        <v>68786.354102156634</v>
      </c>
      <c r="J71" s="4">
        <f t="shared" si="13"/>
        <v>43364.109569167944</v>
      </c>
      <c r="K71" s="11">
        <f t="shared" si="13"/>
        <v>86522.621663896542</v>
      </c>
      <c r="L71" s="11">
        <f t="shared" si="13"/>
        <v>14738.352775351887</v>
      </c>
      <c r="M71" s="11">
        <f t="shared" si="13"/>
        <v>0</v>
      </c>
      <c r="N71" s="4">
        <f>SUM(K71:M71)</f>
        <v>101260.97443924843</v>
      </c>
    </row>
    <row r="72" spans="1:14">
      <c r="A72" s="3">
        <f t="shared" si="14"/>
        <v>5</v>
      </c>
      <c r="C72" s="4">
        <f t="shared" si="13"/>
        <v>384803.09726998518</v>
      </c>
      <c r="D72" s="4">
        <f t="shared" si="13"/>
        <v>1192767.09252701</v>
      </c>
      <c r="E72" s="4">
        <f t="shared" si="13"/>
        <v>945039.67807416338</v>
      </c>
      <c r="F72" s="4">
        <f t="shared" si="13"/>
        <v>480477.83757280459</v>
      </c>
      <c r="G72" s="4">
        <f t="shared" si="13"/>
        <v>270827.46673318814</v>
      </c>
      <c r="H72" s="4">
        <f t="shared" si="13"/>
        <v>173360.18521861764</v>
      </c>
      <c r="I72" s="4">
        <f t="shared" si="13"/>
        <v>75775.075142112371</v>
      </c>
      <c r="J72" s="11">
        <f t="shared" si="13"/>
        <v>47769.920414657834</v>
      </c>
      <c r="K72" s="11">
        <f t="shared" si="13"/>
        <v>95313.354569387826</v>
      </c>
      <c r="L72" s="11">
        <f t="shared" si="13"/>
        <v>16235.775301663138</v>
      </c>
      <c r="M72" s="11">
        <f t="shared" si="13"/>
        <v>0</v>
      </c>
      <c r="N72" s="4">
        <f>SUM(J72:M72)</f>
        <v>159319.0502857088</v>
      </c>
    </row>
    <row r="73" spans="1:14">
      <c r="A73" s="3">
        <f t="shared" si="14"/>
        <v>6</v>
      </c>
      <c r="C73" s="4">
        <f t="shared" si="13"/>
        <v>393694.49711348157</v>
      </c>
      <c r="D73" s="4">
        <f t="shared" si="13"/>
        <v>1220327.6013042598</v>
      </c>
      <c r="E73" s="4">
        <f t="shared" si="13"/>
        <v>966876.10742034134</v>
      </c>
      <c r="F73" s="4">
        <f t="shared" si="13"/>
        <v>491579.93264456262</v>
      </c>
      <c r="G73" s="4">
        <f t="shared" si="13"/>
        <v>277085.30434522917</v>
      </c>
      <c r="H73" s="4">
        <f t="shared" si="13"/>
        <v>177365.90849542338</v>
      </c>
      <c r="I73" s="11">
        <f t="shared" si="13"/>
        <v>77525.961494221934</v>
      </c>
      <c r="J73" s="11">
        <f t="shared" si="13"/>
        <v>48873.709510723034</v>
      </c>
      <c r="K73" s="11">
        <f t="shared" si="13"/>
        <v>97515.699487902792</v>
      </c>
      <c r="L73" s="11">
        <f t="shared" si="13"/>
        <v>16610.925010697225</v>
      </c>
      <c r="M73" s="11">
        <f t="shared" si="13"/>
        <v>0</v>
      </c>
      <c r="N73" s="4">
        <f>SUM(I73:M73)</f>
        <v>240526.29550354497</v>
      </c>
    </row>
    <row r="74" spans="1:14">
      <c r="A74" s="3">
        <f t="shared" si="14"/>
        <v>7</v>
      </c>
      <c r="C74" s="4">
        <f t="shared" si="13"/>
        <v>409387.21204762743</v>
      </c>
      <c r="D74" s="4">
        <f t="shared" si="13"/>
        <v>1268970.0215411314</v>
      </c>
      <c r="E74" s="4">
        <f t="shared" si="13"/>
        <v>1005415.9174548476</v>
      </c>
      <c r="F74" s="4">
        <f t="shared" si="13"/>
        <v>511174.37403731124</v>
      </c>
      <c r="G74" s="4">
        <f t="shared" si="13"/>
        <v>288129.96137094666</v>
      </c>
      <c r="H74" s="11">
        <f t="shared" si="13"/>
        <v>184435.73716069979</v>
      </c>
      <c r="I74" s="11">
        <f t="shared" si="13"/>
        <v>80616.156614154519</v>
      </c>
      <c r="J74" s="11">
        <f t="shared" si="13"/>
        <v>50821.822061823681</v>
      </c>
      <c r="K74" s="11">
        <f t="shared" si="13"/>
        <v>101402.68821872672</v>
      </c>
      <c r="L74" s="11">
        <f t="shared" si="13"/>
        <v>17273.038687409877</v>
      </c>
      <c r="M74" s="11">
        <f t="shared" si="13"/>
        <v>0</v>
      </c>
      <c r="N74" s="4">
        <f>SUM(H74:M74)</f>
        <v>434549.4427428146</v>
      </c>
    </row>
    <row r="75" spans="1:14">
      <c r="A75" s="3">
        <f t="shared" si="14"/>
        <v>8</v>
      </c>
      <c r="C75" s="4">
        <f>$B11/1000000*C$31</f>
        <v>428899.16525998292</v>
      </c>
      <c r="D75" s="4">
        <f>$B11/1000000*D$31</f>
        <v>1329450.864517027</v>
      </c>
      <c r="E75" s="4">
        <f>$B11/1000000*E$31</f>
        <v>1053335.4121606424</v>
      </c>
      <c r="F75" s="4">
        <f>$B11/1000000*F$31</f>
        <v>535537.64229790051</v>
      </c>
      <c r="G75" s="11">
        <f t="shared" si="13"/>
        <v>301862.62853763299</v>
      </c>
      <c r="H75" s="11">
        <f t="shared" si="13"/>
        <v>193226.19609117368</v>
      </c>
      <c r="I75" s="11">
        <f t="shared" si="13"/>
        <v>84458.43265435558</v>
      </c>
      <c r="J75" s="11">
        <f t="shared" si="13"/>
        <v>53244.059457264339</v>
      </c>
      <c r="K75" s="11">
        <f t="shared" si="13"/>
        <v>106235.67872234968</v>
      </c>
      <c r="L75" s="11">
        <f t="shared" si="13"/>
        <v>18096.295283575215</v>
      </c>
      <c r="M75" s="11">
        <f t="shared" si="13"/>
        <v>0</v>
      </c>
      <c r="N75" s="4">
        <f>SUM(G75:M75)</f>
        <v>757123.29074635147</v>
      </c>
    </row>
    <row r="76" spans="1:14">
      <c r="A76" s="3">
        <f t="shared" si="14"/>
        <v>9</v>
      </c>
      <c r="C76" s="4">
        <f>$B12/1000000*C$31</f>
        <v>426408.13178980502</v>
      </c>
      <c r="D76" s="4">
        <f>$B12/1000000*D$31</f>
        <v>1321729.4538249325</v>
      </c>
      <c r="E76" s="4">
        <f>$B12/1000000*E$31</f>
        <v>1047217.6717229215</v>
      </c>
      <c r="F76" s="11">
        <f t="shared" ref="F76:M76" si="15">$B12/1000000*F$31</f>
        <v>532427.25575589004</v>
      </c>
      <c r="G76" s="11">
        <f t="shared" si="15"/>
        <v>300109.41945729515</v>
      </c>
      <c r="H76" s="11">
        <f t="shared" si="15"/>
        <v>192103.94414767431</v>
      </c>
      <c r="I76" s="11">
        <f t="shared" si="15"/>
        <v>83967.900614142272</v>
      </c>
      <c r="J76" s="11">
        <f t="shared" si="15"/>
        <v>52934.819559080373</v>
      </c>
      <c r="K76" s="11">
        <f t="shared" si="15"/>
        <v>105618.66509103608</v>
      </c>
      <c r="L76" s="11">
        <f t="shared" si="15"/>
        <v>17991.192544076333</v>
      </c>
      <c r="M76" s="11">
        <f t="shared" si="15"/>
        <v>0</v>
      </c>
      <c r="N76" s="4">
        <f>SUM(F76:M76)</f>
        <v>1285153.1971691945</v>
      </c>
    </row>
    <row r="77" spans="1:14">
      <c r="A77" s="3">
        <f t="shared" si="14"/>
        <v>10</v>
      </c>
      <c r="C77" s="4">
        <f>$B13/1000000*C$31</f>
        <v>381554.71622262662</v>
      </c>
      <c r="D77" s="4">
        <f>$B13/1000000*D$31</f>
        <v>1182698.1454609234</v>
      </c>
      <c r="E77" s="11">
        <f t="shared" ref="E77:M78" si="16">$B13/1000000*E$31</f>
        <v>937061.96427446371</v>
      </c>
      <c r="F77" s="11">
        <f t="shared" si="16"/>
        <v>476421.80186955701</v>
      </c>
      <c r="G77" s="11">
        <f t="shared" si="16"/>
        <v>268541.23043134529</v>
      </c>
      <c r="H77" s="11">
        <f t="shared" si="16"/>
        <v>171896.73561536349</v>
      </c>
      <c r="I77" s="11">
        <f t="shared" si="16"/>
        <v>75135.406907370736</v>
      </c>
      <c r="J77" s="11">
        <f t="shared" si="16"/>
        <v>47366.662475182558</v>
      </c>
      <c r="K77" s="11">
        <f t="shared" si="16"/>
        <v>94508.750612870994</v>
      </c>
      <c r="L77" s="11">
        <f t="shared" si="16"/>
        <v>16098.718232337911</v>
      </c>
      <c r="M77" s="11">
        <f t="shared" si="16"/>
        <v>0</v>
      </c>
      <c r="N77" s="4">
        <f>SUM(E77:M77)</f>
        <v>2087031.2704184919</v>
      </c>
    </row>
    <row r="78" spans="1:14">
      <c r="A78" s="3">
        <f t="shared" si="14"/>
        <v>11</v>
      </c>
      <c r="C78" s="4">
        <f>$B14/1000000*C$31</f>
        <v>417247.99570924451</v>
      </c>
      <c r="D78" s="11">
        <f>$B14/1000000*D$31</f>
        <v>1293335.9482698145</v>
      </c>
      <c r="E78" s="11">
        <f t="shared" si="16"/>
        <v>1024721.2518289445</v>
      </c>
      <c r="F78" s="11">
        <f t="shared" si="16"/>
        <v>520989.60775595106</v>
      </c>
      <c r="G78" s="11">
        <f t="shared" si="16"/>
        <v>293662.44315375236</v>
      </c>
      <c r="H78" s="11">
        <f t="shared" si="16"/>
        <v>187977.15073353623</v>
      </c>
      <c r="I78" s="11">
        <f t="shared" si="16"/>
        <v>82164.094967200072</v>
      </c>
      <c r="J78" s="11">
        <f t="shared" si="16"/>
        <v>51797.669222556971</v>
      </c>
      <c r="K78" s="11">
        <f t="shared" si="16"/>
        <v>103349.75586357803</v>
      </c>
      <c r="L78" s="11">
        <f t="shared" si="16"/>
        <v>17604.704201878059</v>
      </c>
      <c r="M78" s="11">
        <f t="shared" si="16"/>
        <v>0</v>
      </c>
      <c r="N78" s="4">
        <f>SUM(D78:M78)</f>
        <v>3575602.6259972118</v>
      </c>
    </row>
    <row r="79" spans="1:14">
      <c r="A79" s="3"/>
      <c r="C79" s="4"/>
      <c r="N79" s="1">
        <f>SUM(N68:N78)</f>
        <v>8652772.3281614482</v>
      </c>
    </row>
    <row r="80" spans="1:14">
      <c r="A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12"/>
    </row>
    <row r="82" spans="1:13">
      <c r="A82" s="3" t="s">
        <v>8</v>
      </c>
    </row>
    <row r="83" spans="1:13" ht="15">
      <c r="A83" s="9" t="s">
        <v>9</v>
      </c>
      <c r="B83" s="13">
        <v>2538.1042697089642</v>
      </c>
      <c r="C83" s="13"/>
      <c r="D83" s="9" t="s">
        <v>10</v>
      </c>
      <c r="F83" s="14">
        <f>K83</f>
        <v>92.230942158303733</v>
      </c>
      <c r="G83" s="14">
        <f>(MEDIAN(C135:M145)-1)^2</f>
        <v>8.9832683655642495E-2</v>
      </c>
      <c r="H83" s="14">
        <f>SUM(C148:L148)</f>
        <v>1.1841147105915308</v>
      </c>
      <c r="I83" s="14">
        <f>(AVERAGE(C135:M145)-1)^2</f>
        <v>4.012867633591443E-2</v>
      </c>
      <c r="K83" s="1">
        <f>F181</f>
        <v>92.230942158303733</v>
      </c>
    </row>
    <row r="84" spans="1:13">
      <c r="A84" s="9" t="s">
        <v>11</v>
      </c>
      <c r="B84" s="15">
        <v>1606.8592463680034</v>
      </c>
      <c r="C84" s="15"/>
    </row>
    <row r="85" spans="1:13" ht="15">
      <c r="A85" s="9" t="s">
        <v>12</v>
      </c>
      <c r="B85" s="13">
        <v>3457.2427327509413</v>
      </c>
      <c r="C85" s="13"/>
    </row>
    <row r="88" spans="1:13">
      <c r="A88" s="3" t="s">
        <v>13</v>
      </c>
    </row>
    <row r="89" spans="1:13">
      <c r="C89" s="3">
        <v>0</v>
      </c>
      <c r="D89" s="3">
        <v>1</v>
      </c>
      <c r="E89" s="3">
        <v>2</v>
      </c>
      <c r="F89" s="3">
        <v>3</v>
      </c>
      <c r="G89" s="3">
        <v>4</v>
      </c>
      <c r="H89" s="3">
        <v>5</v>
      </c>
      <c r="I89" s="3">
        <v>6</v>
      </c>
      <c r="J89" s="3">
        <v>7</v>
      </c>
      <c r="K89" s="3">
        <v>8</v>
      </c>
      <c r="L89" s="3">
        <v>9</v>
      </c>
      <c r="M89" s="3">
        <v>10</v>
      </c>
    </row>
    <row r="90" spans="1:13">
      <c r="A90" s="3">
        <v>1</v>
      </c>
      <c r="C90" s="4">
        <f>SQRT((C68/$B$83)^2*$B$84^2+(C68/$B$83)*$B$85^2)</f>
        <v>126072.11662952811</v>
      </c>
      <c r="D90" s="4">
        <f t="shared" ref="D90:M99" si="17">SQRT((D68/$B$83)^2*$B$84^2+(D68/$B$83)*$B$85^2)</f>
        <v>383126.20480459009</v>
      </c>
      <c r="E90" s="4">
        <f t="shared" si="17"/>
        <v>304318.23014645575</v>
      </c>
      <c r="F90" s="4">
        <f t="shared" si="17"/>
        <v>156517.38416268738</v>
      </c>
      <c r="G90" s="4">
        <f t="shared" si="17"/>
        <v>89793.768696671119</v>
      </c>
      <c r="H90" s="4">
        <f t="shared" si="17"/>
        <v>58748.331918741496</v>
      </c>
      <c r="I90" s="4">
        <f t="shared" si="17"/>
        <v>27573.944981759916</v>
      </c>
      <c r="J90" s="4">
        <f t="shared" si="17"/>
        <v>18545.81073386372</v>
      </c>
      <c r="K90" s="4">
        <f t="shared" si="17"/>
        <v>33835.065442338382</v>
      </c>
      <c r="L90" s="4">
        <f t="shared" si="17"/>
        <v>8067.9040078220787</v>
      </c>
      <c r="M90" s="4">
        <f t="shared" si="17"/>
        <v>0</v>
      </c>
    </row>
    <row r="91" spans="1:13">
      <c r="A91" s="3">
        <f>A90+1</f>
        <v>2</v>
      </c>
      <c r="C91" s="4">
        <f t="shared" ref="C91:C100" si="18">SQRT((C69/$B$83)^2*$B$84^2+(C69/$B$83)*$B$85^2)</f>
        <v>168748.66985120581</v>
      </c>
      <c r="D91" s="4">
        <f t="shared" si="17"/>
        <v>515371.58130967832</v>
      </c>
      <c r="E91" s="4">
        <f t="shared" si="17"/>
        <v>409099.53569198673</v>
      </c>
      <c r="F91" s="4">
        <f t="shared" si="17"/>
        <v>209798.63968501851</v>
      </c>
      <c r="G91" s="4">
        <f t="shared" si="17"/>
        <v>119839.39706973401</v>
      </c>
      <c r="H91" s="4">
        <f t="shared" si="17"/>
        <v>77997.567397039442</v>
      </c>
      <c r="I91" s="4">
        <f t="shared" si="17"/>
        <v>36033.30568324402</v>
      </c>
      <c r="J91" s="4">
        <f t="shared" si="17"/>
        <v>23923.892592422679</v>
      </c>
      <c r="K91" s="4">
        <f t="shared" si="17"/>
        <v>44450.825127072814</v>
      </c>
      <c r="L91" s="4">
        <f t="shared" si="17"/>
        <v>10015.688415671062</v>
      </c>
    </row>
    <row r="92" spans="1:13">
      <c r="A92" s="3">
        <f t="shared" ref="A92:A100" si="19">A91+1</f>
        <v>3</v>
      </c>
      <c r="C92" s="4">
        <f t="shared" si="18"/>
        <v>186835.06549842938</v>
      </c>
      <c r="D92" s="4">
        <f t="shared" si="17"/>
        <v>571422.67179941095</v>
      </c>
      <c r="E92" s="4">
        <f t="shared" si="17"/>
        <v>453509.91172945214</v>
      </c>
      <c r="F92" s="4">
        <f t="shared" si="17"/>
        <v>232380.16014475227</v>
      </c>
      <c r="G92" s="4">
        <f>SQRT((G70/$B$83)^2*$B$84^2+(G70/$B$83)*$B$85^2)</f>
        <v>132571.49313697434</v>
      </c>
      <c r="H92" s="4">
        <f>SQRT((H70/$B$83)^2*$B$84^2+(H70/$B$83)*$B$85^2)</f>
        <v>86152.382549206217</v>
      </c>
      <c r="I92" s="4">
        <f>SQRT((I70/$B$83)^2*$B$84^2+(I70/$B$83)*$B$85^2)</f>
        <v>39611.293436816501</v>
      </c>
      <c r="J92" s="4">
        <f>SQRT((J70/$B$83)^2*$B$84^2+(J70/$B$83)*$B$85^2)</f>
        <v>26193.306462981447</v>
      </c>
      <c r="K92" s="4">
        <f>SQRT((K70/$B$83)^2*$B$84^2+(K70/$B$83)*$B$85^2)</f>
        <v>48943.947208783698</v>
      </c>
    </row>
    <row r="93" spans="1:13">
      <c r="A93" s="3">
        <f t="shared" si="19"/>
        <v>4</v>
      </c>
      <c r="C93" s="4">
        <f t="shared" si="18"/>
        <v>224836.37686172317</v>
      </c>
      <c r="D93" s="4">
        <f t="shared" si="17"/>
        <v>689197.31789060286</v>
      </c>
      <c r="E93" s="4">
        <f t="shared" si="17"/>
        <v>546824.745562542</v>
      </c>
      <c r="F93" s="4">
        <f t="shared" si="17"/>
        <v>279827.08605796995</v>
      </c>
      <c r="G93" s="4">
        <f>SQRT((G71/$B$83)^2*$B$84^2+(G71/$B$83)*$B$85^2)</f>
        <v>159321.46955205436</v>
      </c>
      <c r="H93" s="4">
        <f>SQRT((H71/$B$83)^2*$B$84^2+(H71/$B$83)*$B$85^2)</f>
        <v>103283.08597077255</v>
      </c>
      <c r="I93" s="4">
        <f>SQRT((I71/$B$83)^2*$B$84^2+(I71/$B$83)*$B$85^2)</f>
        <v>47120.916563768173</v>
      </c>
      <c r="J93" s="4">
        <f>SQRT((J71/$B$83)^2*$B$84^2+(J71/$B$83)*$B$85^2)</f>
        <v>30950.124243803555</v>
      </c>
    </row>
    <row r="94" spans="1:13">
      <c r="A94" s="3">
        <f t="shared" si="19"/>
        <v>5</v>
      </c>
      <c r="C94" s="4">
        <f t="shared" si="18"/>
        <v>247307.88801122006</v>
      </c>
      <c r="D94" s="4">
        <f t="shared" si="17"/>
        <v>758844.10688217252</v>
      </c>
      <c r="E94" s="4">
        <f t="shared" si="17"/>
        <v>602006.92813204799</v>
      </c>
      <c r="F94" s="4">
        <f t="shared" si="17"/>
        <v>307884.51864741085</v>
      </c>
      <c r="G94" s="4">
        <f>SQRT((G72/$B$83)^2*$B$84^2+(G72/$B$83)*$B$85^2)</f>
        <v>175139.0493392018</v>
      </c>
      <c r="H94" s="4">
        <f>SQRT((H72/$B$83)^2*$B$84^2+(H72/$B$83)*$B$85^2)</f>
        <v>113411.59100634525</v>
      </c>
      <c r="I94" s="4">
        <f>SQRT((I72/$B$83)^2*$B$84^2+(I72/$B$83)*$B$85^2)</f>
        <v>51558.013644957966</v>
      </c>
    </row>
    <row r="95" spans="1:13">
      <c r="A95" s="3">
        <f t="shared" si="19"/>
        <v>6</v>
      </c>
      <c r="C95" s="4">
        <f t="shared" si="18"/>
        <v>252937.60457552169</v>
      </c>
      <c r="D95" s="4">
        <f t="shared" si="17"/>
        <v>776292.71166878543</v>
      </c>
      <c r="E95" s="4">
        <f t="shared" si="17"/>
        <v>615831.70412955771</v>
      </c>
      <c r="F95" s="4">
        <f t="shared" si="17"/>
        <v>314913.69268274499</v>
      </c>
      <c r="G95" s="4">
        <f>SQRT((G73/$B$83)^2*$B$84^2+(G73/$B$83)*$B$85^2)</f>
        <v>179101.72386173566</v>
      </c>
      <c r="H95" s="4">
        <f>SQRT((H73/$B$83)^2*$B$84^2+(H73/$B$83)*$B$85^2)</f>
        <v>115948.92489773179</v>
      </c>
    </row>
    <row r="96" spans="1:13">
      <c r="A96" s="3">
        <f t="shared" si="19"/>
        <v>7</v>
      </c>
      <c r="C96" s="4">
        <f t="shared" si="18"/>
        <v>262873.60570952907</v>
      </c>
      <c r="D96" s="4">
        <f t="shared" si="17"/>
        <v>807088.28869513655</v>
      </c>
      <c r="E96" s="4">
        <f t="shared" si="17"/>
        <v>640231.46467831801</v>
      </c>
      <c r="F96" s="4">
        <f t="shared" si="17"/>
        <v>327319.65340387257</v>
      </c>
      <c r="G96" s="4">
        <f>SQRT((G74/$B$83)^2*$B$84^2+(G74/$B$83)*$B$85^2)</f>
        <v>186095.48365743028</v>
      </c>
    </row>
    <row r="97" spans="1:13">
      <c r="A97" s="3">
        <f t="shared" si="19"/>
        <v>8</v>
      </c>
      <c r="C97" s="4">
        <f t="shared" si="18"/>
        <v>275227.69212273462</v>
      </c>
      <c r="D97" s="4">
        <f t="shared" si="17"/>
        <v>845378.75140659127</v>
      </c>
      <c r="E97" s="4">
        <f t="shared" si="17"/>
        <v>670569.51048642187</v>
      </c>
      <c r="F97" s="4">
        <f t="shared" si="17"/>
        <v>342744.84958343388</v>
      </c>
    </row>
    <row r="98" spans="1:13">
      <c r="A98" s="3">
        <f t="shared" si="19"/>
        <v>9</v>
      </c>
      <c r="C98" s="4">
        <f t="shared" si="18"/>
        <v>273650.48831442418</v>
      </c>
      <c r="D98" s="4">
        <f t="shared" si="17"/>
        <v>840490.3230293442</v>
      </c>
      <c r="E98" s="4">
        <f t="shared" si="17"/>
        <v>666696.34420837206</v>
      </c>
    </row>
    <row r="99" spans="1:13">
      <c r="A99" s="3">
        <f t="shared" si="19"/>
        <v>10</v>
      </c>
      <c r="C99" s="4">
        <f t="shared" si="18"/>
        <v>245251.12211736818</v>
      </c>
      <c r="D99" s="4">
        <f t="shared" si="17"/>
        <v>752469.43707117974</v>
      </c>
    </row>
    <row r="100" spans="1:13">
      <c r="A100" s="3">
        <f t="shared" si="19"/>
        <v>11</v>
      </c>
      <c r="C100" s="4">
        <f t="shared" si="18"/>
        <v>267850.71154849551</v>
      </c>
    </row>
    <row r="102" spans="1:13">
      <c r="A102" s="3" t="s">
        <v>6</v>
      </c>
    </row>
    <row r="104" spans="1:13">
      <c r="C104" s="3">
        <v>0</v>
      </c>
      <c r="D104" s="3">
        <v>1</v>
      </c>
      <c r="E104" s="3">
        <v>2</v>
      </c>
      <c r="F104" s="3">
        <v>3</v>
      </c>
      <c r="G104" s="3">
        <v>4</v>
      </c>
      <c r="H104" s="3">
        <v>5</v>
      </c>
      <c r="I104" s="3">
        <v>6</v>
      </c>
      <c r="J104" s="3">
        <v>7</v>
      </c>
      <c r="K104" s="3">
        <v>8</v>
      </c>
      <c r="L104" s="3">
        <v>9</v>
      </c>
      <c r="M104" s="3">
        <v>10</v>
      </c>
    </row>
    <row r="105" spans="1:13">
      <c r="A105" s="3">
        <v>1</v>
      </c>
      <c r="C105" s="14">
        <f t="shared" ref="C105:L110" si="20">(C4-C68)/C90</f>
        <v>0.25608135704156093</v>
      </c>
      <c r="D105" s="14">
        <f t="shared" si="20"/>
        <v>5.3586063003584997E-2</v>
      </c>
      <c r="E105" s="14">
        <f t="shared" si="20"/>
        <v>0.60868126372069287</v>
      </c>
      <c r="F105" s="14">
        <f t="shared" si="20"/>
        <v>-0.24457872830717747</v>
      </c>
      <c r="G105" s="14">
        <f t="shared" si="20"/>
        <v>-1.2532552790736231</v>
      </c>
      <c r="H105" s="14">
        <f t="shared" si="20"/>
        <v>-1.1367141798958409</v>
      </c>
      <c r="I105" s="14">
        <f t="shared" si="20"/>
        <v>-0.19942286199946258</v>
      </c>
      <c r="J105" s="14">
        <f t="shared" si="20"/>
        <v>0.53215738198834728</v>
      </c>
      <c r="K105" s="14">
        <f t="shared" si="20"/>
        <v>2.1572194298360752</v>
      </c>
      <c r="L105" s="14">
        <f t="shared" si="20"/>
        <v>0.76098619922870292</v>
      </c>
      <c r="M105" s="14"/>
    </row>
    <row r="106" spans="1:13">
      <c r="A106" s="3">
        <f>A105+1</f>
        <v>2</v>
      </c>
      <c r="C106" s="14">
        <f t="shared" si="20"/>
        <v>0.21116868722959278</v>
      </c>
      <c r="D106" s="14">
        <f t="shared" si="20"/>
        <v>0.19055639526079715</v>
      </c>
      <c r="E106" s="14">
        <f t="shared" si="20"/>
        <v>-0.51945298235998383</v>
      </c>
      <c r="F106" s="14">
        <f t="shared" si="20"/>
        <v>-0.70027899029990825</v>
      </c>
      <c r="G106" s="14">
        <f t="shared" si="20"/>
        <v>-0.8223053098645674</v>
      </c>
      <c r="H106" s="14">
        <f t="shared" si="20"/>
        <v>-0.20321111796903207</v>
      </c>
      <c r="I106" s="14">
        <f t="shared" si="20"/>
        <v>0.90547744054510293</v>
      </c>
      <c r="J106" s="14">
        <f t="shared" si="20"/>
        <v>-0.63937189513161319</v>
      </c>
      <c r="K106" s="14">
        <f t="shared" si="20"/>
        <v>-0.76900902983322739</v>
      </c>
      <c r="L106" s="14">
        <f t="shared" si="20"/>
        <v>-0.82664127566014434</v>
      </c>
    </row>
    <row r="107" spans="1:13">
      <c r="A107" s="3">
        <f t="shared" ref="A107:A115" si="21">A106+1</f>
        <v>3</v>
      </c>
      <c r="C107" s="14">
        <f t="shared" si="20"/>
        <v>7.5514995664858475E-2</v>
      </c>
      <c r="D107" s="14">
        <f t="shared" si="20"/>
        <v>6.448648160971715E-2</v>
      </c>
      <c r="E107" s="14">
        <f t="shared" si="20"/>
        <v>-0.57287024695696298</v>
      </c>
      <c r="F107" s="14">
        <f t="shared" si="20"/>
        <v>-0.4818970649517626</v>
      </c>
      <c r="G107" s="14">
        <f t="shared" si="20"/>
        <v>-1.331846162475578</v>
      </c>
      <c r="H107" s="14">
        <f t="shared" si="20"/>
        <v>-0.36852517456078665</v>
      </c>
      <c r="I107" s="14">
        <f t="shared" si="20"/>
        <v>-1.2540182487781635</v>
      </c>
      <c r="J107" s="14">
        <f t="shared" si="20"/>
        <v>-1.2819990465919091</v>
      </c>
      <c r="K107" s="14">
        <f t="shared" si="20"/>
        <v>-1.4564275620726579</v>
      </c>
    </row>
    <row r="108" spans="1:13">
      <c r="A108" s="3">
        <f t="shared" si="21"/>
        <v>4</v>
      </c>
      <c r="C108" s="14">
        <f t="shared" si="20"/>
        <v>-0.3376125806529881</v>
      </c>
      <c r="D108" s="14">
        <f t="shared" si="20"/>
        <v>0.78110095593800721</v>
      </c>
      <c r="E108" s="14">
        <f t="shared" si="20"/>
        <v>0.82686405242219929</v>
      </c>
      <c r="F108" s="14">
        <f t="shared" si="20"/>
        <v>1.6961411792214731</v>
      </c>
      <c r="G108" s="14">
        <f t="shared" si="20"/>
        <v>1.2168133430448176</v>
      </c>
      <c r="H108" s="14">
        <f t="shared" si="20"/>
        <v>0.7503323664752658</v>
      </c>
      <c r="I108" s="14">
        <f t="shared" si="20"/>
        <v>1.5294939307963236</v>
      </c>
      <c r="J108" s="14">
        <f t="shared" si="20"/>
        <v>1.3960609686238228</v>
      </c>
    </row>
    <row r="109" spans="1:13">
      <c r="A109" s="3">
        <f t="shared" si="21"/>
        <v>5</v>
      </c>
      <c r="C109" s="14">
        <f t="shared" si="20"/>
        <v>-0.40057932671153085</v>
      </c>
      <c r="D109" s="14">
        <f t="shared" si="20"/>
        <v>-0.5463281703937426</v>
      </c>
      <c r="E109" s="14">
        <f t="shared" si="20"/>
        <v>-0.75343006347374541</v>
      </c>
      <c r="F109" s="14">
        <f t="shared" si="20"/>
        <v>-0.95568295822554172</v>
      </c>
      <c r="G109" s="14">
        <f t="shared" si="20"/>
        <v>-1.3012825386061719</v>
      </c>
      <c r="H109" s="14">
        <f t="shared" si="20"/>
        <v>-1.2166128170347061</v>
      </c>
      <c r="I109" s="14">
        <f t="shared" si="20"/>
        <v>-0.98007044045720182</v>
      </c>
    </row>
    <row r="110" spans="1:13">
      <c r="A110" s="3">
        <f t="shared" si="21"/>
        <v>6</v>
      </c>
      <c r="C110" s="14">
        <f t="shared" si="20"/>
        <v>-0.1409081388799186</v>
      </c>
      <c r="D110" s="14">
        <f t="shared" si="20"/>
        <v>0.18520529245556405</v>
      </c>
      <c r="E110" s="14">
        <f t="shared" si="20"/>
        <v>0.85198538669142199</v>
      </c>
      <c r="F110" s="14">
        <f t="shared" si="20"/>
        <v>1.9872239661102769</v>
      </c>
      <c r="G110" s="14">
        <f t="shared" si="20"/>
        <v>2.9322919642035505</v>
      </c>
      <c r="H110" s="14">
        <f t="shared" si="20"/>
        <v>2.2159685545269157</v>
      </c>
    </row>
    <row r="111" spans="1:13">
      <c r="A111" s="3">
        <f t="shared" si="21"/>
        <v>7</v>
      </c>
      <c r="C111" s="14">
        <f>(C10-C74)/C96</f>
        <v>-0.22873251913342568</v>
      </c>
      <c r="D111" s="14">
        <f>(D10-D74)/D96</f>
        <v>-0.49592204117872035</v>
      </c>
      <c r="E111" s="14">
        <f>(E10-E74)/E96</f>
        <v>0.25084723479787957</v>
      </c>
      <c r="F111" s="14">
        <f>(F10-F74)/F96</f>
        <v>-0.2579300789285035</v>
      </c>
      <c r="G111" s="14">
        <f>(G10-G74)/G96</f>
        <v>0.60188918305638384</v>
      </c>
    </row>
    <row r="112" spans="1:13">
      <c r="A112" s="3">
        <f t="shared" si="21"/>
        <v>8</v>
      </c>
      <c r="C112" s="14">
        <f>(C11-C75)/C97</f>
        <v>-0.87705504267476808</v>
      </c>
      <c r="D112" s="14">
        <f>(D11-D75)/D97</f>
        <v>-0.5320671637045834</v>
      </c>
      <c r="E112" s="14">
        <f>(E11-E75)/E97</f>
        <v>-0.64512914082066974</v>
      </c>
      <c r="F112" s="14">
        <f>(F11-F75)/F97</f>
        <v>-1.0372413552821584</v>
      </c>
    </row>
    <row r="113" spans="1:13">
      <c r="A113" s="3">
        <f t="shared" si="21"/>
        <v>9</v>
      </c>
      <c r="C113" s="14">
        <f>(C12-C76)/C98</f>
        <v>-0.68940681579577101</v>
      </c>
      <c r="D113" s="14">
        <f>(D12-D76)/D98</f>
        <v>-0.48063712663450686</v>
      </c>
      <c r="E113" s="14">
        <f>(E12-E76)/E98</f>
        <v>-4.9251450091436055E-2</v>
      </c>
    </row>
    <row r="114" spans="1:13">
      <c r="A114" s="3">
        <f t="shared" si="21"/>
        <v>10</v>
      </c>
      <c r="C114" s="14">
        <f>(C13-C77)/C99</f>
        <v>-2.4369373607866542E-2</v>
      </c>
      <c r="D114" s="14">
        <f>(D13-D77)/D99</f>
        <v>0.77817590082889476</v>
      </c>
    </row>
    <row r="115" spans="1:13">
      <c r="A115" s="3">
        <f t="shared" si="21"/>
        <v>11</v>
      </c>
      <c r="C115" s="14">
        <f>(C14-C78)/C100</f>
        <v>2.1507226113396198</v>
      </c>
    </row>
    <row r="117" spans="1:13">
      <c r="A117" s="3" t="s">
        <v>14</v>
      </c>
    </row>
    <row r="119" spans="1:13">
      <c r="C119" s="3">
        <v>0</v>
      </c>
      <c r="D119" s="3">
        <v>1</v>
      </c>
      <c r="E119" s="3">
        <v>2</v>
      </c>
      <c r="F119" s="3">
        <v>3</v>
      </c>
      <c r="G119" s="3">
        <v>4</v>
      </c>
      <c r="H119" s="3">
        <v>5</v>
      </c>
      <c r="I119" s="3">
        <v>6</v>
      </c>
      <c r="J119" s="3">
        <v>7</v>
      </c>
      <c r="K119" s="3">
        <v>8</v>
      </c>
      <c r="L119" s="3">
        <v>9</v>
      </c>
      <c r="M119" s="3">
        <v>10</v>
      </c>
    </row>
    <row r="120" spans="1:13">
      <c r="A120" s="3">
        <v>1</v>
      </c>
      <c r="C120" s="14">
        <f>C105^2</f>
        <v>6.557766142424741E-2</v>
      </c>
      <c r="D120" s="14">
        <f t="shared" ref="D120:L129" si="22">D105^2</f>
        <v>2.8714661482241808E-3</v>
      </c>
      <c r="E120" s="14">
        <f t="shared" si="22"/>
        <v>0.37049288080461967</v>
      </c>
      <c r="F120" s="14">
        <f t="shared" si="22"/>
        <v>5.9818754340356134E-2</v>
      </c>
      <c r="G120" s="14">
        <f t="shared" si="22"/>
        <v>1.5706487945259049</v>
      </c>
      <c r="H120" s="14">
        <f t="shared" si="22"/>
        <v>1.2921191267762742</v>
      </c>
      <c r="I120" s="14">
        <f t="shared" si="22"/>
        <v>3.9769477888056695E-2</v>
      </c>
      <c r="J120" s="14">
        <f t="shared" si="22"/>
        <v>0.28319147920469179</v>
      </c>
      <c r="K120" s="14">
        <f t="shared" si="22"/>
        <v>4.6535956684622812</v>
      </c>
      <c r="L120" s="14">
        <f t="shared" si="22"/>
        <v>0.57909999541654711</v>
      </c>
    </row>
    <row r="121" spans="1:13">
      <c r="A121" s="3">
        <f>A120+1</f>
        <v>2</v>
      </c>
      <c r="C121" s="14">
        <f t="shared" ref="C121:C130" si="23">C106^2</f>
        <v>4.4592214466269584E-2</v>
      </c>
      <c r="D121" s="14">
        <f t="shared" si="22"/>
        <v>3.6311739774789152E-2</v>
      </c>
      <c r="E121" s="14">
        <f t="shared" si="22"/>
        <v>0.26983140088268165</v>
      </c>
      <c r="F121" s="14">
        <f t="shared" si="22"/>
        <v>0.49039066425545902</v>
      </c>
      <c r="G121" s="14">
        <f t="shared" si="22"/>
        <v>0.67618602263146221</v>
      </c>
      <c r="H121" s="14">
        <f t="shared" si="22"/>
        <v>4.1294758466223873E-2</v>
      </c>
      <c r="I121" s="14">
        <f t="shared" si="22"/>
        <v>0.81988939533611038</v>
      </c>
      <c r="J121" s="14">
        <f t="shared" si="22"/>
        <v>0.40879642028419055</v>
      </c>
      <c r="K121" s="14">
        <f t="shared" si="22"/>
        <v>0.59137488796504156</v>
      </c>
      <c r="L121" s="14">
        <f t="shared" si="22"/>
        <v>0.68333579862503069</v>
      </c>
    </row>
    <row r="122" spans="1:13">
      <c r="A122" s="3">
        <f t="shared" ref="A122:A130" si="24">A121+1</f>
        <v>3</v>
      </c>
      <c r="C122" s="14">
        <f t="shared" si="23"/>
        <v>5.7025145702635947E-3</v>
      </c>
      <c r="D122" s="14">
        <f t="shared" si="22"/>
        <v>4.1585063104003879E-3</v>
      </c>
      <c r="E122" s="14">
        <f t="shared" si="22"/>
        <v>0.32818031984853174</v>
      </c>
      <c r="F122" s="14">
        <f t="shared" si="22"/>
        <v>0.23222478120912329</v>
      </c>
      <c r="G122" s="14">
        <f t="shared" si="22"/>
        <v>1.7738142005009236</v>
      </c>
      <c r="H122" s="14">
        <f t="shared" si="22"/>
        <v>0.13581080428505826</v>
      </c>
      <c r="I122" s="14">
        <f t="shared" si="22"/>
        <v>1.5725617682686519</v>
      </c>
      <c r="J122" s="14">
        <f t="shared" si="22"/>
        <v>1.643521555462564</v>
      </c>
      <c r="K122" s="14">
        <f t="shared" si="22"/>
        <v>2.1211812435649056</v>
      </c>
    </row>
    <row r="123" spans="1:13">
      <c r="A123" s="3">
        <f t="shared" si="24"/>
        <v>4</v>
      </c>
      <c r="C123" s="14">
        <f t="shared" si="23"/>
        <v>0.11398225461517039</v>
      </c>
      <c r="D123" s="14">
        <f t="shared" si="22"/>
        <v>0.6101187033672687</v>
      </c>
      <c r="E123" s="14">
        <f t="shared" si="22"/>
        <v>0.68370416118806154</v>
      </c>
      <c r="F123" s="14">
        <f t="shared" si="22"/>
        <v>2.8768948998508095</v>
      </c>
      <c r="G123" s="14">
        <f t="shared" si="22"/>
        <v>1.480634711811905</v>
      </c>
      <c r="H123" s="14">
        <f t="shared" si="22"/>
        <v>0.56299866018037259</v>
      </c>
      <c r="I123" s="14">
        <f t="shared" si="22"/>
        <v>2.3393516843427888</v>
      </c>
      <c r="J123" s="14">
        <f t="shared" si="22"/>
        <v>1.9489862281148862</v>
      </c>
    </row>
    <row r="124" spans="1:13">
      <c r="A124" s="3">
        <f t="shared" si="24"/>
        <v>5</v>
      </c>
      <c r="C124" s="14">
        <f t="shared" si="23"/>
        <v>0.16046379698866337</v>
      </c>
      <c r="D124" s="14">
        <f t="shared" si="22"/>
        <v>0.29847446976577424</v>
      </c>
      <c r="E124" s="14">
        <f t="shared" si="22"/>
        <v>0.56765686054605202</v>
      </c>
      <c r="F124" s="14">
        <f t="shared" si="22"/>
        <v>0.91332991664272256</v>
      </c>
      <c r="G124" s="14">
        <f t="shared" si="22"/>
        <v>1.6933362452813234</v>
      </c>
      <c r="H124" s="14">
        <f t="shared" si="22"/>
        <v>1.4801467465731233</v>
      </c>
      <c r="I124" s="14">
        <f t="shared" si="22"/>
        <v>0.96053806825797361</v>
      </c>
    </row>
    <row r="125" spans="1:13">
      <c r="A125" s="3">
        <f t="shared" si="24"/>
        <v>6</v>
      </c>
      <c r="C125" s="14">
        <f t="shared" si="23"/>
        <v>1.9855103602602429E-2</v>
      </c>
      <c r="D125" s="14">
        <f t="shared" si="22"/>
        <v>3.4301000353551013E-2</v>
      </c>
      <c r="E125" s="14">
        <f t="shared" si="22"/>
        <v>0.7258790991357319</v>
      </c>
      <c r="F125" s="14">
        <f t="shared" si="22"/>
        <v>3.9490590914830586</v>
      </c>
      <c r="G125" s="14">
        <f t="shared" si="22"/>
        <v>8.598336163332716</v>
      </c>
      <c r="H125" s="14">
        <f t="shared" si="22"/>
        <v>4.9105166346521081</v>
      </c>
    </row>
    <row r="126" spans="1:13">
      <c r="A126" s="3">
        <f t="shared" si="24"/>
        <v>7</v>
      </c>
      <c r="C126" s="14">
        <f t="shared" si="23"/>
        <v>5.2318565309122947E-2</v>
      </c>
      <c r="D126" s="14">
        <f t="shared" si="22"/>
        <v>0.24593867092686841</v>
      </c>
      <c r="E126" s="14">
        <f t="shared" si="22"/>
        <v>6.2924335205742518E-2</v>
      </c>
      <c r="F126" s="14">
        <f t="shared" si="22"/>
        <v>6.6527925616064049E-2</v>
      </c>
      <c r="G126" s="14">
        <f t="shared" si="22"/>
        <v>0.36227058868028111</v>
      </c>
    </row>
    <row r="127" spans="1:13">
      <c r="A127" s="3">
        <f t="shared" si="24"/>
        <v>8</v>
      </c>
      <c r="C127" s="14">
        <f t="shared" si="23"/>
        <v>0.76922554788123931</v>
      </c>
      <c r="D127" s="14">
        <f t="shared" si="22"/>
        <v>0.28309546669263996</v>
      </c>
      <c r="E127" s="14">
        <f t="shared" si="22"/>
        <v>0.41619160833601554</v>
      </c>
      <c r="F127" s="14">
        <f t="shared" si="22"/>
        <v>1.0758696291075689</v>
      </c>
    </row>
    <row r="128" spans="1:13">
      <c r="A128" s="3">
        <f t="shared" si="24"/>
        <v>9</v>
      </c>
      <c r="C128" s="14">
        <f t="shared" si="23"/>
        <v>0.47528175766566416</v>
      </c>
      <c r="D128" s="14">
        <f t="shared" si="22"/>
        <v>0.23101204749947499</v>
      </c>
      <c r="E128" s="14">
        <f t="shared" si="22"/>
        <v>2.4257053361092166E-3</v>
      </c>
    </row>
    <row r="129" spans="1:13">
      <c r="A129" s="3">
        <f t="shared" si="24"/>
        <v>10</v>
      </c>
      <c r="C129" s="14">
        <f t="shared" si="23"/>
        <v>5.9386637003978231E-4</v>
      </c>
      <c r="D129" s="14">
        <f t="shared" si="22"/>
        <v>0.60555773263086188</v>
      </c>
    </row>
    <row r="130" spans="1:13">
      <c r="A130" s="3">
        <f t="shared" si="24"/>
        <v>11</v>
      </c>
      <c r="C130" s="14">
        <f t="shared" si="23"/>
        <v>4.6256077509275135</v>
      </c>
    </row>
    <row r="132" spans="1:13">
      <c r="A132" s="3" t="s">
        <v>15</v>
      </c>
    </row>
    <row r="134" spans="1:13">
      <c r="C134" s="3">
        <v>0</v>
      </c>
      <c r="D134" s="3">
        <v>1</v>
      </c>
      <c r="E134" s="3">
        <v>2</v>
      </c>
      <c r="F134" s="3">
        <v>3</v>
      </c>
      <c r="G134" s="3">
        <v>4</v>
      </c>
      <c r="H134" s="3">
        <v>5</v>
      </c>
      <c r="I134" s="3">
        <v>6</v>
      </c>
      <c r="J134" s="3">
        <v>7</v>
      </c>
      <c r="K134" s="3">
        <v>8</v>
      </c>
      <c r="L134" s="3">
        <v>9</v>
      </c>
      <c r="M134" s="3">
        <v>10</v>
      </c>
    </row>
    <row r="135" spans="1:13">
      <c r="A135" s="3">
        <v>1</v>
      </c>
      <c r="C135" s="14">
        <f t="shared" ref="C135:L145" si="25">ABS(C105)</f>
        <v>0.25608135704156093</v>
      </c>
      <c r="D135" s="14">
        <f t="shared" si="25"/>
        <v>5.3586063003584997E-2</v>
      </c>
      <c r="E135" s="14">
        <f t="shared" si="25"/>
        <v>0.60868126372069287</v>
      </c>
      <c r="F135" s="14">
        <f t="shared" si="25"/>
        <v>0.24457872830717747</v>
      </c>
      <c r="G135" s="14">
        <f t="shared" si="25"/>
        <v>1.2532552790736231</v>
      </c>
      <c r="H135" s="14">
        <f t="shared" si="25"/>
        <v>1.1367141798958409</v>
      </c>
      <c r="I135" s="14">
        <f t="shared" si="25"/>
        <v>0.19942286199946258</v>
      </c>
      <c r="J135" s="14">
        <f t="shared" si="25"/>
        <v>0.53215738198834728</v>
      </c>
      <c r="K135" s="14">
        <f t="shared" si="25"/>
        <v>2.1572194298360752</v>
      </c>
      <c r="L135" s="14">
        <f t="shared" si="25"/>
        <v>0.76098619922870292</v>
      </c>
    </row>
    <row r="136" spans="1:13">
      <c r="A136" s="3">
        <f>A135+1</f>
        <v>2</v>
      </c>
      <c r="C136" s="14">
        <f t="shared" si="25"/>
        <v>0.21116868722959278</v>
      </c>
      <c r="D136" s="14">
        <f t="shared" si="25"/>
        <v>0.19055639526079715</v>
      </c>
      <c r="E136" s="14">
        <f t="shared" si="25"/>
        <v>0.51945298235998383</v>
      </c>
      <c r="F136" s="14">
        <f t="shared" si="25"/>
        <v>0.70027899029990825</v>
      </c>
      <c r="G136" s="14">
        <f t="shared" si="25"/>
        <v>0.8223053098645674</v>
      </c>
      <c r="H136" s="14">
        <f t="shared" si="25"/>
        <v>0.20321111796903207</v>
      </c>
      <c r="I136" s="14">
        <f t="shared" si="25"/>
        <v>0.90547744054510293</v>
      </c>
      <c r="J136" s="14">
        <f t="shared" si="25"/>
        <v>0.63937189513161319</v>
      </c>
      <c r="K136" s="14">
        <f t="shared" si="25"/>
        <v>0.76900902983322739</v>
      </c>
      <c r="L136" s="14">
        <f t="shared" si="25"/>
        <v>0.82664127566014434</v>
      </c>
    </row>
    <row r="137" spans="1:13">
      <c r="A137" s="3">
        <f t="shared" ref="A137:A145" si="26">A136+1</f>
        <v>3</v>
      </c>
      <c r="C137" s="14">
        <f t="shared" si="25"/>
        <v>7.5514995664858475E-2</v>
      </c>
      <c r="D137" s="14">
        <f t="shared" si="25"/>
        <v>6.448648160971715E-2</v>
      </c>
      <c r="E137" s="14">
        <f t="shared" si="25"/>
        <v>0.57287024695696298</v>
      </c>
      <c r="F137" s="14">
        <f t="shared" si="25"/>
        <v>0.4818970649517626</v>
      </c>
      <c r="G137" s="14">
        <f t="shared" si="25"/>
        <v>1.331846162475578</v>
      </c>
      <c r="H137" s="14">
        <f t="shared" si="25"/>
        <v>0.36852517456078665</v>
      </c>
      <c r="I137" s="14">
        <f t="shared" si="25"/>
        <v>1.2540182487781635</v>
      </c>
      <c r="J137" s="14">
        <f t="shared" si="25"/>
        <v>1.2819990465919091</v>
      </c>
      <c r="K137" s="14">
        <f t="shared" si="25"/>
        <v>1.4564275620726579</v>
      </c>
    </row>
    <row r="138" spans="1:13">
      <c r="A138" s="3">
        <f t="shared" si="26"/>
        <v>4</v>
      </c>
      <c r="C138" s="14">
        <f t="shared" si="25"/>
        <v>0.3376125806529881</v>
      </c>
      <c r="D138" s="14">
        <f t="shared" si="25"/>
        <v>0.78110095593800721</v>
      </c>
      <c r="E138" s="14">
        <f t="shared" si="25"/>
        <v>0.82686405242219929</v>
      </c>
      <c r="F138" s="14">
        <f t="shared" si="25"/>
        <v>1.6961411792214731</v>
      </c>
      <c r="G138" s="14">
        <f t="shared" si="25"/>
        <v>1.2168133430448176</v>
      </c>
      <c r="H138" s="14">
        <f t="shared" si="25"/>
        <v>0.7503323664752658</v>
      </c>
      <c r="I138" s="14">
        <f t="shared" si="25"/>
        <v>1.5294939307963236</v>
      </c>
      <c r="J138" s="14">
        <f t="shared" si="25"/>
        <v>1.3960609686238228</v>
      </c>
    </row>
    <row r="139" spans="1:13">
      <c r="A139" s="3">
        <f t="shared" si="26"/>
        <v>5</v>
      </c>
      <c r="C139" s="14">
        <f t="shared" si="25"/>
        <v>0.40057932671153085</v>
      </c>
      <c r="D139" s="14">
        <f t="shared" si="25"/>
        <v>0.5463281703937426</v>
      </c>
      <c r="E139" s="14">
        <f t="shared" si="25"/>
        <v>0.75343006347374541</v>
      </c>
      <c r="F139" s="14">
        <f t="shared" si="25"/>
        <v>0.95568295822554172</v>
      </c>
      <c r="G139" s="14">
        <f t="shared" si="25"/>
        <v>1.3012825386061719</v>
      </c>
      <c r="H139" s="14">
        <f t="shared" si="25"/>
        <v>1.2166128170347061</v>
      </c>
      <c r="I139" s="14">
        <f t="shared" si="25"/>
        <v>0.98007044045720182</v>
      </c>
    </row>
    <row r="140" spans="1:13">
      <c r="A140" s="3">
        <f t="shared" si="26"/>
        <v>6</v>
      </c>
      <c r="C140" s="14">
        <f t="shared" si="25"/>
        <v>0.1409081388799186</v>
      </c>
      <c r="D140" s="14">
        <f t="shared" si="25"/>
        <v>0.18520529245556405</v>
      </c>
      <c r="E140" s="14">
        <f t="shared" si="25"/>
        <v>0.85198538669142199</v>
      </c>
      <c r="F140" s="14">
        <f t="shared" si="25"/>
        <v>1.9872239661102769</v>
      </c>
      <c r="G140" s="14">
        <f t="shared" si="25"/>
        <v>2.9322919642035505</v>
      </c>
      <c r="H140" s="14">
        <f t="shared" si="25"/>
        <v>2.2159685545269157</v>
      </c>
    </row>
    <row r="141" spans="1:13">
      <c r="A141" s="3">
        <f t="shared" si="26"/>
        <v>7</v>
      </c>
      <c r="C141" s="14">
        <f t="shared" si="25"/>
        <v>0.22873251913342568</v>
      </c>
      <c r="D141" s="14">
        <f t="shared" si="25"/>
        <v>0.49592204117872035</v>
      </c>
      <c r="E141" s="14">
        <f t="shared" si="25"/>
        <v>0.25084723479787957</v>
      </c>
      <c r="F141" s="14">
        <f t="shared" si="25"/>
        <v>0.2579300789285035</v>
      </c>
      <c r="G141" s="14">
        <f t="shared" si="25"/>
        <v>0.60188918305638384</v>
      </c>
    </row>
    <row r="142" spans="1:13">
      <c r="A142" s="3">
        <f t="shared" si="26"/>
        <v>8</v>
      </c>
      <c r="C142" s="14">
        <f t="shared" si="25"/>
        <v>0.87705504267476808</v>
      </c>
      <c r="D142" s="14">
        <f t="shared" si="25"/>
        <v>0.5320671637045834</v>
      </c>
      <c r="E142" s="14">
        <f t="shared" si="25"/>
        <v>0.64512914082066974</v>
      </c>
      <c r="F142" s="14">
        <f t="shared" si="25"/>
        <v>1.0372413552821584</v>
      </c>
    </row>
    <row r="143" spans="1:13">
      <c r="A143" s="3">
        <f t="shared" si="26"/>
        <v>9</v>
      </c>
      <c r="C143" s="14">
        <f t="shared" si="25"/>
        <v>0.68940681579577101</v>
      </c>
      <c r="D143" s="14">
        <f t="shared" si="25"/>
        <v>0.48063712663450686</v>
      </c>
      <c r="E143" s="14">
        <f t="shared" si="25"/>
        <v>4.9251450091436055E-2</v>
      </c>
    </row>
    <row r="144" spans="1:13">
      <c r="A144" s="3">
        <f t="shared" si="26"/>
        <v>10</v>
      </c>
      <c r="C144" s="14">
        <f t="shared" si="25"/>
        <v>2.4369373607866542E-2</v>
      </c>
      <c r="D144" s="14">
        <f t="shared" si="25"/>
        <v>0.77817590082889476</v>
      </c>
    </row>
    <row r="145" spans="1:13">
      <c r="A145" s="3">
        <f t="shared" si="26"/>
        <v>11</v>
      </c>
      <c r="C145" s="14">
        <f t="shared" si="25"/>
        <v>2.1507226113396198</v>
      </c>
    </row>
    <row r="146" spans="1:13">
      <c r="C146" s="14"/>
    </row>
    <row r="147" spans="1:13">
      <c r="A147" s="3" t="s">
        <v>16</v>
      </c>
      <c r="C147" s="14">
        <f>AVERAGE(C135:C145)</f>
        <v>0.49019558624835469</v>
      </c>
      <c r="D147" s="14">
        <f t="shared" ref="D147:L147" si="27">AVERAGE(D135:D145)</f>
        <v>0.41080655910081187</v>
      </c>
      <c r="E147" s="14">
        <f t="shared" si="27"/>
        <v>0.56427909125944342</v>
      </c>
      <c r="F147" s="14">
        <f t="shared" si="27"/>
        <v>0.92012179016585027</v>
      </c>
      <c r="G147" s="14">
        <f t="shared" si="27"/>
        <v>1.3513833971892417</v>
      </c>
      <c r="H147" s="14">
        <f t="shared" si="27"/>
        <v>0.98189403507709117</v>
      </c>
      <c r="I147" s="14">
        <f t="shared" si="27"/>
        <v>0.97369658451525076</v>
      </c>
      <c r="J147" s="14">
        <f t="shared" si="27"/>
        <v>0.96239732308392301</v>
      </c>
      <c r="K147" s="14">
        <f t="shared" si="27"/>
        <v>1.4608853405806534</v>
      </c>
      <c r="L147" s="14">
        <f t="shared" si="27"/>
        <v>0.79381373744442363</v>
      </c>
    </row>
    <row r="148" spans="1:13">
      <c r="A148" s="3" t="s">
        <v>17</v>
      </c>
      <c r="C148" s="14">
        <f>(C147-1)^2</f>
        <v>0.25990054028065879</v>
      </c>
      <c r="D148" s="14">
        <f t="shared" ref="D148:L148" si="28">(D147-1)^2</f>
        <v>0.34714891079862509</v>
      </c>
      <c r="E148" s="14">
        <f t="shared" si="28"/>
        <v>0.18985271031369644</v>
      </c>
      <c r="F148" s="14">
        <f t="shared" si="28"/>
        <v>6.3805284063084538E-3</v>
      </c>
      <c r="G148" s="14">
        <f t="shared" si="28"/>
        <v>0.1234702918202524</v>
      </c>
      <c r="H148" s="14">
        <f t="shared" si="28"/>
        <v>3.2782596578960515E-4</v>
      </c>
      <c r="I148" s="14">
        <f t="shared" si="28"/>
        <v>6.9186966616334596E-4</v>
      </c>
      <c r="J148" s="14">
        <f t="shared" si="28"/>
        <v>1.4139613112548696E-3</v>
      </c>
      <c r="K148" s="14">
        <f t="shared" si="28"/>
        <v>0.21241529716214491</v>
      </c>
      <c r="L148" s="14">
        <f t="shared" si="28"/>
        <v>4.2512774866637078E-2</v>
      </c>
    </row>
    <row r="150" spans="1:13">
      <c r="A150" s="3" t="s">
        <v>18</v>
      </c>
    </row>
    <row r="151" spans="1:13">
      <c r="C151" s="3">
        <v>0</v>
      </c>
      <c r="D151" s="3">
        <v>1</v>
      </c>
      <c r="E151" s="3">
        <v>2</v>
      </c>
      <c r="F151" s="3">
        <v>3</v>
      </c>
      <c r="G151" s="3">
        <v>4</v>
      </c>
      <c r="H151" s="3">
        <v>5</v>
      </c>
      <c r="I151" s="3">
        <v>6</v>
      </c>
      <c r="J151" s="3">
        <v>7</v>
      </c>
      <c r="K151" s="3">
        <v>8</v>
      </c>
      <c r="L151" s="3">
        <v>9</v>
      </c>
      <c r="M151" s="3">
        <v>10</v>
      </c>
    </row>
    <row r="152" spans="1:13">
      <c r="A152" s="3">
        <v>1</v>
      </c>
      <c r="C152" s="14">
        <f>NORMDIST(C105,0,1,FALSE)</f>
        <v>0.38607355760961365</v>
      </c>
      <c r="D152" s="14">
        <f t="shared" ref="D152:L161" si="29">NORMDIST(D105,0,1,FALSE)</f>
        <v>0.39836991675382744</v>
      </c>
      <c r="E152" s="14">
        <f t="shared" si="29"/>
        <v>0.33148093788895355</v>
      </c>
      <c r="F152" s="14">
        <f t="shared" si="29"/>
        <v>0.38718684053654867</v>
      </c>
      <c r="G152" s="14">
        <f t="shared" si="29"/>
        <v>0.18190641445105588</v>
      </c>
      <c r="H152" s="14">
        <f t="shared" si="29"/>
        <v>0.20908841115328933</v>
      </c>
      <c r="I152" s="14">
        <f t="shared" si="29"/>
        <v>0.39108776856691607</v>
      </c>
      <c r="J152" s="14">
        <f t="shared" si="29"/>
        <v>0.34627075785042022</v>
      </c>
      <c r="K152" s="14">
        <f t="shared" si="29"/>
        <v>3.8939879737978106E-2</v>
      </c>
      <c r="L152" s="14">
        <f t="shared" si="29"/>
        <v>0.29864833619289466</v>
      </c>
    </row>
    <row r="153" spans="1:13">
      <c r="A153" s="3">
        <f>A152+1</f>
        <v>2</v>
      </c>
      <c r="C153" s="14">
        <f t="shared" ref="C153:C162" si="30">NORMDIST(C106,0,1,FALSE)</f>
        <v>0.39014584803859798</v>
      </c>
      <c r="D153" s="14">
        <f t="shared" si="29"/>
        <v>0.39176449292375948</v>
      </c>
      <c r="E153" s="14">
        <f t="shared" si="29"/>
        <v>0.34859160311155218</v>
      </c>
      <c r="F153" s="14">
        <f t="shared" si="29"/>
        <v>0.31219294609814519</v>
      </c>
      <c r="G153" s="14">
        <f t="shared" si="29"/>
        <v>0.28449729182761607</v>
      </c>
      <c r="H153" s="14">
        <f t="shared" si="29"/>
        <v>0.39078962298140751</v>
      </c>
      <c r="I153" s="14">
        <f t="shared" si="29"/>
        <v>0.26477278632600759</v>
      </c>
      <c r="J153" s="14">
        <f t="shared" si="29"/>
        <v>0.325192897046721</v>
      </c>
      <c r="K153" s="14">
        <f t="shared" si="29"/>
        <v>0.29682101136460365</v>
      </c>
      <c r="L153" s="14">
        <f t="shared" si="29"/>
        <v>0.28348206162228651</v>
      </c>
    </row>
    <row r="154" spans="1:13">
      <c r="A154" s="3">
        <f t="shared" ref="A154:A162" si="31">A153+1</f>
        <v>3</v>
      </c>
      <c r="C154" s="14">
        <f t="shared" si="30"/>
        <v>0.39780641341212342</v>
      </c>
      <c r="D154" s="14">
        <f t="shared" si="29"/>
        <v>0.3981136401810994</v>
      </c>
      <c r="E154" s="14">
        <f t="shared" si="29"/>
        <v>0.33856855099037481</v>
      </c>
      <c r="F154" s="14">
        <f t="shared" si="29"/>
        <v>0.35520829190507908</v>
      </c>
      <c r="G154" s="14">
        <f t="shared" si="29"/>
        <v>0.16433543026509326</v>
      </c>
      <c r="H154" s="14">
        <f t="shared" si="29"/>
        <v>0.37275126362094685</v>
      </c>
      <c r="I154" s="14">
        <f t="shared" si="29"/>
        <v>0.18173250653739148</v>
      </c>
      <c r="J154" s="14">
        <f t="shared" si="29"/>
        <v>0.17539770018923814</v>
      </c>
      <c r="K154" s="14">
        <f t="shared" si="29"/>
        <v>0.13813426182974592</v>
      </c>
    </row>
    <row r="155" spans="1:13">
      <c r="A155" s="3">
        <f t="shared" si="31"/>
        <v>4</v>
      </c>
      <c r="C155" s="14">
        <f t="shared" si="30"/>
        <v>0.37684185567379097</v>
      </c>
      <c r="D155" s="14">
        <f t="shared" si="29"/>
        <v>0.29405222690432403</v>
      </c>
      <c r="E155" s="14">
        <f t="shared" si="29"/>
        <v>0.28342985434083984</v>
      </c>
      <c r="F155" s="14">
        <f t="shared" si="29"/>
        <v>9.4667362124536372E-2</v>
      </c>
      <c r="G155" s="14">
        <f t="shared" si="29"/>
        <v>0.19028051724024098</v>
      </c>
      <c r="H155" s="14">
        <f t="shared" si="29"/>
        <v>0.30106235889108746</v>
      </c>
      <c r="I155" s="14">
        <f t="shared" si="29"/>
        <v>0.12385863855027222</v>
      </c>
      <c r="J155" s="14">
        <f t="shared" si="29"/>
        <v>0.15055427218669271</v>
      </c>
    </row>
    <row r="156" spans="1:13">
      <c r="A156" s="3">
        <f t="shared" si="31"/>
        <v>5</v>
      </c>
      <c r="C156" s="14">
        <f t="shared" si="30"/>
        <v>0.3681847489137296</v>
      </c>
      <c r="D156" s="14">
        <f t="shared" si="29"/>
        <v>0.34363481558528769</v>
      </c>
      <c r="E156" s="14">
        <f t="shared" si="29"/>
        <v>0.30036197044998802</v>
      </c>
      <c r="F156" s="14">
        <f t="shared" si="29"/>
        <v>0.25268705528431779</v>
      </c>
      <c r="G156" s="14">
        <f t="shared" si="29"/>
        <v>0.17108296651495572</v>
      </c>
      <c r="H156" s="14">
        <f t="shared" si="29"/>
        <v>0.19032694804318046</v>
      </c>
      <c r="I156" s="14">
        <f t="shared" si="29"/>
        <v>0.24679245287693352</v>
      </c>
    </row>
    <row r="157" spans="1:13">
      <c r="A157" s="3">
        <f t="shared" si="31"/>
        <v>6</v>
      </c>
      <c r="C157" s="14">
        <f t="shared" si="30"/>
        <v>0.39500135448696361</v>
      </c>
      <c r="D157" s="14">
        <f t="shared" si="29"/>
        <v>0.39215855913656578</v>
      </c>
      <c r="E157" s="14">
        <f t="shared" si="29"/>
        <v>0.27751561342813796</v>
      </c>
      <c r="F157" s="14">
        <f t="shared" si="29"/>
        <v>5.5383803756016786E-2</v>
      </c>
      <c r="G157" s="14">
        <f t="shared" si="29"/>
        <v>5.4175769815031256E-3</v>
      </c>
      <c r="H157" s="14">
        <f t="shared" si="29"/>
        <v>3.4245611614365436E-2</v>
      </c>
    </row>
    <row r="158" spans="1:13">
      <c r="A158" s="3">
        <f t="shared" si="31"/>
        <v>7</v>
      </c>
      <c r="C158" s="14">
        <f t="shared" si="30"/>
        <v>0.3886415537349297</v>
      </c>
      <c r="D158" s="14">
        <f t="shared" si="29"/>
        <v>0.35278097971752836</v>
      </c>
      <c r="E158" s="14">
        <f t="shared" si="29"/>
        <v>0.38658608705773528</v>
      </c>
      <c r="F158" s="14">
        <f t="shared" si="29"/>
        <v>0.38589016524226177</v>
      </c>
      <c r="G158" s="14">
        <f t="shared" si="29"/>
        <v>0.33284650955036638</v>
      </c>
    </row>
    <row r="159" spans="1:13">
      <c r="A159" s="3">
        <f t="shared" si="31"/>
        <v>8</v>
      </c>
      <c r="C159" s="14">
        <f t="shared" si="30"/>
        <v>0.27156566545336408</v>
      </c>
      <c r="D159" s="14">
        <f t="shared" si="29"/>
        <v>0.34628738141209015</v>
      </c>
      <c r="E159" s="14">
        <f t="shared" si="29"/>
        <v>0.32399268604730275</v>
      </c>
      <c r="F159" s="14">
        <f t="shared" si="29"/>
        <v>0.23296353314832213</v>
      </c>
    </row>
    <row r="160" spans="1:13">
      <c r="A160" s="3">
        <f t="shared" si="31"/>
        <v>9</v>
      </c>
      <c r="C160" s="14">
        <f t="shared" si="30"/>
        <v>0.31456032399250966</v>
      </c>
      <c r="D160" s="14">
        <f t="shared" si="29"/>
        <v>0.35542374375467772</v>
      </c>
      <c r="E160" s="14">
        <f t="shared" si="29"/>
        <v>0.39845871549801709</v>
      </c>
    </row>
    <row r="161" spans="1:13">
      <c r="A161" s="3">
        <f t="shared" si="31"/>
        <v>10</v>
      </c>
      <c r="C161" s="14">
        <f t="shared" si="30"/>
        <v>0.39882383878496741</v>
      </c>
      <c r="D161" s="14">
        <f t="shared" si="29"/>
        <v>0.29472357391283055</v>
      </c>
    </row>
    <row r="162" spans="1:13">
      <c r="A162" s="3">
        <f t="shared" si="31"/>
        <v>11</v>
      </c>
      <c r="C162" s="14">
        <f t="shared" si="30"/>
        <v>3.948863347279271E-2</v>
      </c>
    </row>
    <row r="164" spans="1:13">
      <c r="A164" s="3" t="s">
        <v>19</v>
      </c>
    </row>
    <row r="165" spans="1:13">
      <c r="C165" s="3">
        <v>0</v>
      </c>
      <c r="D165" s="3">
        <v>1</v>
      </c>
      <c r="E165" s="3">
        <v>2</v>
      </c>
      <c r="F165" s="3">
        <v>3</v>
      </c>
      <c r="G165" s="3">
        <v>4</v>
      </c>
      <c r="H165" s="3">
        <v>5</v>
      </c>
      <c r="I165" s="3">
        <v>6</v>
      </c>
      <c r="J165" s="3">
        <v>7</v>
      </c>
      <c r="K165" s="3">
        <v>8</v>
      </c>
      <c r="L165" s="3">
        <v>9</v>
      </c>
      <c r="M165" s="3">
        <v>10</v>
      </c>
    </row>
    <row r="166" spans="1:13">
      <c r="A166" s="3">
        <v>1</v>
      </c>
      <c r="C166" s="14">
        <f>LN(C152)</f>
        <v>-0.95172736391679646</v>
      </c>
      <c r="D166" s="14">
        <f t="shared" ref="D166:L175" si="32">LN(D152)</f>
        <v>-0.92037426627878482</v>
      </c>
      <c r="E166" s="14">
        <f t="shared" si="32"/>
        <v>-1.1041849736069829</v>
      </c>
      <c r="F166" s="14">
        <f t="shared" si="32"/>
        <v>-0.94884791037485094</v>
      </c>
      <c r="G166" s="14">
        <f t="shared" si="32"/>
        <v>-1.7042629304676251</v>
      </c>
      <c r="H166" s="14">
        <f t="shared" si="32"/>
        <v>-1.5649980965928099</v>
      </c>
      <c r="I166" s="14">
        <f t="shared" si="32"/>
        <v>-0.93882327214870109</v>
      </c>
      <c r="J166" s="14">
        <f t="shared" si="32"/>
        <v>-1.0605342728070186</v>
      </c>
      <c r="K166" s="14">
        <f t="shared" si="32"/>
        <v>-3.2457363674358133</v>
      </c>
      <c r="L166" s="14">
        <f t="shared" si="32"/>
        <v>-1.2084885309129463</v>
      </c>
    </row>
    <row r="167" spans="1:13">
      <c r="A167" s="3">
        <f>A166+1</f>
        <v>2</v>
      </c>
      <c r="C167" s="14">
        <f t="shared" ref="C167:C176" si="33">LN(C153)</f>
        <v>-0.94123464043780769</v>
      </c>
      <c r="D167" s="14">
        <f t="shared" si="32"/>
        <v>-0.93709440309206737</v>
      </c>
      <c r="E167" s="14">
        <f t="shared" si="32"/>
        <v>-1.0538542336460137</v>
      </c>
      <c r="F167" s="14">
        <f t="shared" si="32"/>
        <v>-1.1641338653324023</v>
      </c>
      <c r="G167" s="14">
        <f t="shared" si="32"/>
        <v>-1.2570315445204039</v>
      </c>
      <c r="H167" s="14">
        <f t="shared" si="32"/>
        <v>-0.93958591243778478</v>
      </c>
      <c r="I167" s="14">
        <f t="shared" si="32"/>
        <v>-1.3288832308727281</v>
      </c>
      <c r="J167" s="14">
        <f t="shared" si="32"/>
        <v>-1.123336743346768</v>
      </c>
      <c r="K167" s="14">
        <f t="shared" si="32"/>
        <v>-1.2146259771871937</v>
      </c>
      <c r="L167" s="14">
        <f t="shared" si="32"/>
        <v>-1.260606432517188</v>
      </c>
    </row>
    <row r="168" spans="1:13">
      <c r="A168" s="3">
        <f t="shared" ref="A168:A176" si="34">A167+1</f>
        <v>3</v>
      </c>
      <c r="C168" s="14">
        <f t="shared" si="33"/>
        <v>-0.92178979048980469</v>
      </c>
      <c r="D168" s="14">
        <f t="shared" si="32"/>
        <v>-0.92101778635987308</v>
      </c>
      <c r="E168" s="14">
        <f t="shared" si="32"/>
        <v>-1.0830286931289388</v>
      </c>
      <c r="F168" s="14">
        <f t="shared" si="32"/>
        <v>-1.0350509238092342</v>
      </c>
      <c r="G168" s="14">
        <f t="shared" si="32"/>
        <v>-1.8058456334551345</v>
      </c>
      <c r="H168" s="14">
        <f t="shared" si="32"/>
        <v>-0.98684393534720205</v>
      </c>
      <c r="I168" s="14">
        <f t="shared" si="32"/>
        <v>-1.7052194173389987</v>
      </c>
      <c r="J168" s="14">
        <f t="shared" si="32"/>
        <v>-1.7406993109359548</v>
      </c>
      <c r="K168" s="14">
        <f t="shared" si="32"/>
        <v>-1.9795291549871257</v>
      </c>
    </row>
    <row r="169" spans="1:13">
      <c r="A169" s="3">
        <f t="shared" si="34"/>
        <v>4</v>
      </c>
      <c r="C169" s="14">
        <f t="shared" si="33"/>
        <v>-0.97592966051225805</v>
      </c>
      <c r="D169" s="14">
        <f t="shared" si="32"/>
        <v>-1.2239978848883073</v>
      </c>
      <c r="E169" s="14">
        <f t="shared" si="32"/>
        <v>-1.2607906137987035</v>
      </c>
      <c r="F169" s="14">
        <f t="shared" si="32"/>
        <v>-2.3573859831300776</v>
      </c>
      <c r="G169" s="14">
        <f t="shared" si="32"/>
        <v>-1.6592558891106253</v>
      </c>
      <c r="H169" s="14">
        <f t="shared" si="32"/>
        <v>-1.2004378632948591</v>
      </c>
      <c r="I169" s="14">
        <f t="shared" si="32"/>
        <v>-2.0886143753760673</v>
      </c>
      <c r="J169" s="14">
        <f t="shared" si="32"/>
        <v>-1.8934316472621158</v>
      </c>
    </row>
    <row r="170" spans="1:13">
      <c r="A170" s="3">
        <f t="shared" si="34"/>
        <v>5</v>
      </c>
      <c r="C170" s="14">
        <f t="shared" si="33"/>
        <v>-0.99917043169900455</v>
      </c>
      <c r="D170" s="14">
        <f t="shared" si="32"/>
        <v>-1.0681757680875599</v>
      </c>
      <c r="E170" s="14">
        <f t="shared" si="32"/>
        <v>-1.202766963477699</v>
      </c>
      <c r="F170" s="14">
        <f t="shared" si="32"/>
        <v>-1.375603491526034</v>
      </c>
      <c r="G170" s="14">
        <f t="shared" si="32"/>
        <v>-1.7656066558453345</v>
      </c>
      <c r="H170" s="14">
        <f t="shared" si="32"/>
        <v>-1.6590119064912343</v>
      </c>
      <c r="I170" s="14">
        <f t="shared" si="32"/>
        <v>-1.3992075673336597</v>
      </c>
    </row>
    <row r="171" spans="1:13">
      <c r="A171" s="3">
        <f t="shared" si="34"/>
        <v>6</v>
      </c>
      <c r="C171" s="14">
        <f t="shared" si="33"/>
        <v>-0.9288660850059739</v>
      </c>
      <c r="D171" s="14">
        <f t="shared" si="32"/>
        <v>-0.93608903338144833</v>
      </c>
      <c r="E171" s="14">
        <f t="shared" si="32"/>
        <v>-1.2818780827725389</v>
      </c>
      <c r="F171" s="14">
        <f t="shared" si="32"/>
        <v>-2.8934680789462019</v>
      </c>
      <c r="G171" s="14">
        <f t="shared" si="32"/>
        <v>-5.2181066148710311</v>
      </c>
      <c r="H171" s="14">
        <f t="shared" si="32"/>
        <v>-3.3741968505307267</v>
      </c>
    </row>
    <row r="172" spans="1:13">
      <c r="A172" s="3">
        <f t="shared" si="34"/>
        <v>7</v>
      </c>
      <c r="C172" s="14">
        <f t="shared" si="33"/>
        <v>-0.94509781585923425</v>
      </c>
      <c r="D172" s="14">
        <f t="shared" si="32"/>
        <v>-1.0419078686681069</v>
      </c>
      <c r="E172" s="14">
        <f t="shared" si="32"/>
        <v>-0.95040070080754402</v>
      </c>
      <c r="F172" s="14">
        <f t="shared" si="32"/>
        <v>-0.9522024960127049</v>
      </c>
      <c r="G172" s="14">
        <f t="shared" si="32"/>
        <v>-1.1000738275448134</v>
      </c>
    </row>
    <row r="173" spans="1:13">
      <c r="A173" s="3">
        <f t="shared" si="34"/>
        <v>8</v>
      </c>
      <c r="C173" s="14">
        <f t="shared" si="33"/>
        <v>-1.3035513071452927</v>
      </c>
      <c r="D173" s="14">
        <f t="shared" si="32"/>
        <v>-1.0604862665509929</v>
      </c>
      <c r="E173" s="14">
        <f t="shared" si="32"/>
        <v>-1.1270343373726806</v>
      </c>
      <c r="F173" s="14">
        <f t="shared" si="32"/>
        <v>-1.4568733477584572</v>
      </c>
    </row>
    <row r="174" spans="1:13">
      <c r="A174" s="3">
        <f t="shared" si="34"/>
        <v>9</v>
      </c>
      <c r="C174" s="14">
        <f t="shared" si="33"/>
        <v>-1.156579412037505</v>
      </c>
      <c r="D174" s="14">
        <f t="shared" si="32"/>
        <v>-1.0344445569544103</v>
      </c>
      <c r="E174" s="14">
        <f t="shared" si="32"/>
        <v>-0.92015138587272738</v>
      </c>
    </row>
    <row r="175" spans="1:13">
      <c r="A175" s="3">
        <f t="shared" si="34"/>
        <v>10</v>
      </c>
      <c r="C175" s="14">
        <f t="shared" si="33"/>
        <v>-0.91923546638969267</v>
      </c>
      <c r="D175" s="14">
        <f t="shared" si="32"/>
        <v>-1.2217173995201038</v>
      </c>
    </row>
    <row r="176" spans="1:13">
      <c r="A176" s="3">
        <f t="shared" si="34"/>
        <v>11</v>
      </c>
      <c r="C176" s="14">
        <f t="shared" si="33"/>
        <v>-3.2317424086684299</v>
      </c>
    </row>
    <row r="178" spans="1:15">
      <c r="B178" s="9" t="s">
        <v>20</v>
      </c>
      <c r="F178" s="14">
        <f>SUM(C166:L176)</f>
        <v>-92.230879658289112</v>
      </c>
    </row>
    <row r="179" spans="1:15">
      <c r="B179" s="9" t="s">
        <v>21</v>
      </c>
      <c r="F179" s="14">
        <f>SUM(C120:L130)</f>
        <v>64.99974999997076</v>
      </c>
    </row>
    <row r="180" spans="1:15">
      <c r="B180" s="9" t="s">
        <v>22</v>
      </c>
      <c r="F180" s="1">
        <f>COUNT(C120:L130)</f>
        <v>65</v>
      </c>
    </row>
    <row r="181" spans="1:15">
      <c r="B181" s="9" t="s">
        <v>10</v>
      </c>
      <c r="F181" s="1">
        <f>-F178+1000*(F179-F180)^2</f>
        <v>92.230942158303733</v>
      </c>
    </row>
    <row r="185" spans="1:15">
      <c r="A185" s="3" t="s">
        <v>23</v>
      </c>
    </row>
    <row r="186" spans="1:15">
      <c r="C186" s="3">
        <v>0</v>
      </c>
      <c r="D186" s="3">
        <v>1</v>
      </c>
      <c r="E186" s="3">
        <v>2</v>
      </c>
      <c r="F186" s="3">
        <v>3</v>
      </c>
      <c r="G186" s="3">
        <v>4</v>
      </c>
      <c r="H186" s="3">
        <v>5</v>
      </c>
      <c r="I186" s="3">
        <v>6</v>
      </c>
      <c r="J186" s="3">
        <v>7</v>
      </c>
      <c r="K186" s="3">
        <v>8</v>
      </c>
      <c r="L186" s="3">
        <v>9</v>
      </c>
      <c r="M186" s="3">
        <v>10</v>
      </c>
    </row>
    <row r="187" spans="1:15">
      <c r="A187" s="3">
        <v>1</v>
      </c>
      <c r="C187" s="6">
        <f>C4/$B$83</f>
        <v>88.89827446918585</v>
      </c>
      <c r="D187" s="6">
        <f t="shared" ref="D187:M191" si="35">D19/$B$83*$B4/1000000</f>
        <v>244.21716136629638</v>
      </c>
      <c r="E187" s="6">
        <f t="shared" si="35"/>
        <v>260.06731003044604</v>
      </c>
      <c r="F187" s="6">
        <f t="shared" si="35"/>
        <v>80.03624296463336</v>
      </c>
      <c r="G187" s="6">
        <f t="shared" si="35"/>
        <v>9.2768450378517713</v>
      </c>
      <c r="H187" s="6">
        <f t="shared" si="35"/>
        <v>8.0085716897402239</v>
      </c>
      <c r="I187" s="6">
        <f t="shared" si="35"/>
        <v>12.834425436641055</v>
      </c>
      <c r="J187" s="6">
        <f t="shared" si="35"/>
        <v>13.345310673104837</v>
      </c>
      <c r="K187" s="6">
        <f t="shared" si="35"/>
        <v>47.626435778330332</v>
      </c>
      <c r="L187" s="6">
        <f t="shared" si="35"/>
        <v>5.6331019062662202</v>
      </c>
      <c r="M187" s="6">
        <f t="shared" si="35"/>
        <v>0</v>
      </c>
      <c r="N187" s="6"/>
      <c r="O187" s="6">
        <f>SUM(C187:M187)</f>
        <v>769.94367935249613</v>
      </c>
    </row>
    <row r="188" spans="1:15">
      <c r="A188" s="3">
        <f>A187+1</f>
        <v>2</v>
      </c>
      <c r="C188" s="6">
        <f t="shared" ref="C188:C197" si="36">C5/$B$83</f>
        <v>116.76840212478102</v>
      </c>
      <c r="D188" s="6">
        <f t="shared" si="35"/>
        <v>357.11920145185155</v>
      </c>
      <c r="E188" s="6">
        <f t="shared" si="35"/>
        <v>168.5646350727184</v>
      </c>
      <c r="F188" s="6">
        <f t="shared" si="35"/>
        <v>70.385571677275792</v>
      </c>
      <c r="G188" s="6">
        <f t="shared" si="35"/>
        <v>33.475161369056941</v>
      </c>
      <c r="H188" s="6">
        <f t="shared" si="35"/>
        <v>40.03614083658271</v>
      </c>
      <c r="I188" s="6">
        <f t="shared" si="35"/>
        <v>33.08423180330125</v>
      </c>
      <c r="J188" s="6">
        <f t="shared" si="35"/>
        <v>6.7262051459996037</v>
      </c>
      <c r="K188" s="6">
        <f t="shared" si="35"/>
        <v>11.977285709970387</v>
      </c>
      <c r="L188" s="6">
        <f t="shared" si="35"/>
        <v>1.0723357714189135</v>
      </c>
      <c r="M188" s="16">
        <f t="shared" ref="M188:M197" si="37">$B5/1000000*M$31/$B$83</f>
        <v>0</v>
      </c>
      <c r="N188" s="6">
        <f>SUM(M188)</f>
        <v>0</v>
      </c>
      <c r="O188" s="6">
        <f t="shared" ref="O188:O196" si="38">SUM(C188:M188)</f>
        <v>839.2091709629567</v>
      </c>
    </row>
    <row r="189" spans="1:15">
      <c r="A189" s="3">
        <f t="shared" ref="A189:A197" si="39">A188+1</f>
        <v>3</v>
      </c>
      <c r="C189" s="6">
        <f t="shared" si="36"/>
        <v>119.5407074567471</v>
      </c>
      <c r="D189" s="6">
        <f t="shared" si="35"/>
        <v>367.82591288381133</v>
      </c>
      <c r="E189" s="6">
        <f t="shared" si="35"/>
        <v>177.56787039000511</v>
      </c>
      <c r="F189" s="6">
        <f t="shared" si="35"/>
        <v>98.200701592366002</v>
      </c>
      <c r="G189" s="6">
        <f t="shared" si="35"/>
        <v>10.655724558984016</v>
      </c>
      <c r="H189" s="6">
        <f t="shared" si="35"/>
        <v>38.841666663010777</v>
      </c>
      <c r="I189" s="6">
        <f t="shared" si="35"/>
        <v>2.8741923990524207</v>
      </c>
      <c r="J189" s="6">
        <f t="shared" si="35"/>
        <v>0.91958396975851253</v>
      </c>
      <c r="K189" s="6">
        <f t="shared" si="35"/>
        <v>0.14735407227492878</v>
      </c>
      <c r="L189" s="16">
        <f t="shared" ref="L189:L197" si="40">$B6/1000000*L$31/$B$83</f>
        <v>4.8091723435310154</v>
      </c>
      <c r="M189" s="16">
        <f t="shared" si="37"/>
        <v>0</v>
      </c>
      <c r="N189" s="6">
        <f>SUM(L189:M189)</f>
        <v>4.8091723435310154</v>
      </c>
      <c r="O189" s="6">
        <f t="shared" si="38"/>
        <v>821.38288632954118</v>
      </c>
    </row>
    <row r="190" spans="1:15">
      <c r="A190" s="3">
        <f t="shared" si="39"/>
        <v>4</v>
      </c>
      <c r="C190" s="6">
        <f t="shared" si="36"/>
        <v>107.72023563529581</v>
      </c>
      <c r="D190" s="6">
        <f t="shared" si="35"/>
        <v>638.7015337970671</v>
      </c>
      <c r="E190" s="6">
        <f t="shared" si="35"/>
        <v>516.14450424064592</v>
      </c>
      <c r="F190" s="6">
        <f t="shared" si="35"/>
        <v>358.84644727556332</v>
      </c>
      <c r="G190" s="6">
        <f t="shared" si="35"/>
        <v>173.24488802440746</v>
      </c>
      <c r="H190" s="6">
        <f t="shared" si="35"/>
        <v>92.536722310045789</v>
      </c>
      <c r="I190" s="6">
        <f t="shared" si="35"/>
        <v>55.497132911782089</v>
      </c>
      <c r="J190" s="6">
        <f t="shared" si="35"/>
        <v>34.109067556128011</v>
      </c>
      <c r="K190" s="16">
        <f t="shared" ref="K190:K197" si="41">$B7/1000000*K$31/$B$83</f>
        <v>34.08946696812334</v>
      </c>
      <c r="L190" s="16">
        <f t="shared" si="40"/>
        <v>5.8068350269320828</v>
      </c>
      <c r="M190" s="16">
        <f t="shared" si="37"/>
        <v>0</v>
      </c>
      <c r="N190" s="6">
        <f>SUM(K190:M190)</f>
        <v>39.896301995055424</v>
      </c>
      <c r="O190" s="6">
        <f t="shared" si="38"/>
        <v>2016.6968337459907</v>
      </c>
    </row>
    <row r="191" spans="1:15">
      <c r="A191" s="3">
        <f t="shared" si="39"/>
        <v>5</v>
      </c>
      <c r="C191" s="6">
        <f t="shared" si="36"/>
        <v>112.57877519459215</v>
      </c>
      <c r="D191" s="6">
        <f t="shared" si="35"/>
        <v>306.60252586440487</v>
      </c>
      <c r="E191" s="6">
        <f t="shared" si="35"/>
        <v>193.63647343627659</v>
      </c>
      <c r="F191" s="6">
        <f t="shared" si="35"/>
        <v>73.37675296584851</v>
      </c>
      <c r="G191" s="6">
        <f t="shared" si="35"/>
        <v>16.911078284786829</v>
      </c>
      <c r="H191" s="6">
        <f t="shared" si="35"/>
        <v>13.940400487981984</v>
      </c>
      <c r="I191" s="6">
        <f t="shared" si="35"/>
        <v>9.9462383406709733</v>
      </c>
      <c r="J191" s="16">
        <f t="shared" ref="J191:J197" si="42">$B8/1000000*J$31/$B$83</f>
        <v>18.82110242071948</v>
      </c>
      <c r="K191" s="16">
        <f t="shared" si="41"/>
        <v>37.552970422415733</v>
      </c>
      <c r="L191" s="16">
        <f t="shared" si="40"/>
        <v>6.3968117840662391</v>
      </c>
      <c r="M191" s="16">
        <f t="shared" si="37"/>
        <v>0</v>
      </c>
      <c r="N191" s="6">
        <f>SUM(J191:M191)</f>
        <v>62.770884627201447</v>
      </c>
      <c r="O191" s="6">
        <f t="shared" si="38"/>
        <v>789.76312920176338</v>
      </c>
    </row>
    <row r="192" spans="1:15">
      <c r="A192" s="3">
        <f t="shared" si="39"/>
        <v>6</v>
      </c>
      <c r="C192" s="6">
        <f t="shared" si="36"/>
        <v>141.07124528853845</v>
      </c>
      <c r="D192" s="6">
        <f>D24/$B$83*$B9/1000000</f>
        <v>537.44881023206221</v>
      </c>
      <c r="E192" s="6">
        <f>E24/$B$83*$B9/1000000</f>
        <v>587.66526568706786</v>
      </c>
      <c r="F192" s="6">
        <f>F24/$B$83*$B9/1000000</f>
        <v>440.24352479739798</v>
      </c>
      <c r="G192" s="6">
        <f>G24/$B$83*$B9/1000000</f>
        <v>316.08782175524766</v>
      </c>
      <c r="H192" s="6">
        <f>H24/$B$83*$B9/1000000</f>
        <v>171.11396296173453</v>
      </c>
      <c r="I192" s="16">
        <f t="shared" ref="I192:I197" si="43">$B9/1000000*I$31/$B$83</f>
        <v>30.544829233162897</v>
      </c>
      <c r="J192" s="16">
        <f t="shared" si="42"/>
        <v>19.255989635259237</v>
      </c>
      <c r="K192" s="16">
        <f t="shared" si="41"/>
        <v>38.42068296866487</v>
      </c>
      <c r="L192" s="16">
        <f t="shared" si="40"/>
        <v>6.5446188357746005</v>
      </c>
      <c r="M192" s="16">
        <f t="shared" si="37"/>
        <v>0</v>
      </c>
      <c r="N192" s="6">
        <f>SUM(I192:M192)</f>
        <v>94.766120672861604</v>
      </c>
      <c r="O192" s="6">
        <f t="shared" si="38"/>
        <v>2288.3967513949106</v>
      </c>
    </row>
    <row r="193" spans="1:15">
      <c r="A193" s="3">
        <f t="shared" si="39"/>
        <v>7</v>
      </c>
      <c r="C193" s="6">
        <f t="shared" si="36"/>
        <v>137.60643097615858</v>
      </c>
      <c r="D193" s="6">
        <f>D25/$B$83*$B10/1000000</f>
        <v>342.27007943200528</v>
      </c>
      <c r="E193" s="6">
        <f>E25/$B$83*$B10/1000000</f>
        <v>459.40437669004945</v>
      </c>
      <c r="F193" s="6">
        <f>F25/$B$83*$B10/1000000</f>
        <v>168.13682364946095</v>
      </c>
      <c r="G193" s="6">
        <f>G25/$B$83*$B10/1000000</f>
        <v>157.65263262642969</v>
      </c>
      <c r="H193" s="16">
        <f>$B10/1000000*H$31/$B$83</f>
        <v>72.666729795875725</v>
      </c>
      <c r="I193" s="16">
        <f t="shared" si="43"/>
        <v>31.762350182484226</v>
      </c>
      <c r="J193" s="16">
        <f t="shared" si="42"/>
        <v>20.023535939148491</v>
      </c>
      <c r="K193" s="16">
        <f t="shared" si="41"/>
        <v>39.95213649372814</v>
      </c>
      <c r="L193" s="16">
        <f t="shared" si="40"/>
        <v>6.8054882116369937</v>
      </c>
      <c r="M193" s="16">
        <f t="shared" si="37"/>
        <v>0</v>
      </c>
      <c r="N193" s="6">
        <f>SUM(H193:M193)</f>
        <v>171.21024062287358</v>
      </c>
      <c r="O193" s="6">
        <f t="shared" si="38"/>
        <v>1436.2805839969774</v>
      </c>
    </row>
    <row r="194" spans="1:15">
      <c r="A194" s="3">
        <f t="shared" si="39"/>
        <v>8</v>
      </c>
      <c r="C194" s="6">
        <f t="shared" si="36"/>
        <v>73.877709532201777</v>
      </c>
      <c r="D194" s="6">
        <f>D26/$B$83*$B11/1000000</f>
        <v>346.57858642697397</v>
      </c>
      <c r="E194" s="6">
        <f>E26/$B$83*$B11/1000000</f>
        <v>244.56500365573129</v>
      </c>
      <c r="F194" s="6">
        <f>F26/$B$83*$B11/1000000</f>
        <v>70.930305010929771</v>
      </c>
      <c r="G194" s="16">
        <f>$B11/1000000*G$31/$B$83</f>
        <v>118.93231973966402</v>
      </c>
      <c r="H194" s="16">
        <f>$B11/1000000*H$31/$B$83</f>
        <v>76.130125305423434</v>
      </c>
      <c r="I194" s="16">
        <f t="shared" si="43"/>
        <v>33.276187137906724</v>
      </c>
      <c r="J194" s="16">
        <f t="shared" si="42"/>
        <v>20.977884987904634</v>
      </c>
      <c r="K194" s="16">
        <f t="shared" si="41"/>
        <v>41.856309841254614</v>
      </c>
      <c r="L194" s="16">
        <f t="shared" si="40"/>
        <v>7.1298470671775256</v>
      </c>
      <c r="M194" s="16">
        <f t="shared" si="37"/>
        <v>0</v>
      </c>
      <c r="N194" s="6">
        <f>SUM(G194:M194)</f>
        <v>298.30267407933098</v>
      </c>
      <c r="O194" s="6">
        <f t="shared" si="38"/>
        <v>1034.2542787051677</v>
      </c>
    </row>
    <row r="195" spans="1:15">
      <c r="A195" s="3">
        <f t="shared" si="39"/>
        <v>9</v>
      </c>
      <c r="C195" s="6">
        <f t="shared" si="36"/>
        <v>93.672912826099989</v>
      </c>
      <c r="D195" s="6">
        <f>D27/$B$83*$B12/1000000</f>
        <v>361.59215795544765</v>
      </c>
      <c r="E195" s="6">
        <f>E27/$B$83*$B12/1000000</f>
        <v>399.66124406556224</v>
      </c>
      <c r="F195" s="16">
        <f>$B12/1000000*F$31/$B$83</f>
        <v>209.77359445399841</v>
      </c>
      <c r="G195" s="16">
        <f>$B12/1000000*G$31/$B$83</f>
        <v>118.24156439865557</v>
      </c>
      <c r="H195" s="16">
        <f>$B12/1000000*H$31/$B$83</f>
        <v>75.687963824158501</v>
      </c>
      <c r="I195" s="16">
        <f t="shared" si="43"/>
        <v>33.082920042434104</v>
      </c>
      <c r="J195" s="16">
        <f t="shared" si="42"/>
        <v>20.856046061949311</v>
      </c>
      <c r="K195" s="16">
        <f t="shared" si="41"/>
        <v>41.613209650818249</v>
      </c>
      <c r="L195" s="16">
        <f t="shared" si="40"/>
        <v>7.0884371295507584</v>
      </c>
      <c r="M195" s="16">
        <f t="shared" si="37"/>
        <v>0</v>
      </c>
      <c r="N195" s="6">
        <f>SUM(F195:M195)</f>
        <v>506.34373556156493</v>
      </c>
      <c r="O195" s="6">
        <f t="shared" si="38"/>
        <v>1361.2700504086749</v>
      </c>
    </row>
    <row r="196" spans="1:15">
      <c r="A196" s="3">
        <f t="shared" si="39"/>
        <v>10</v>
      </c>
      <c r="C196" s="6">
        <f t="shared" si="36"/>
        <v>147.97583554085674</v>
      </c>
      <c r="D196" s="6">
        <f>D28/$B$83*$B13/1000000</f>
        <v>696.68206645535452</v>
      </c>
      <c r="E196" s="16">
        <f>$B13/1000000*E$31/$B$83</f>
        <v>369.19758398338513</v>
      </c>
      <c r="F196" s="16">
        <f>$B13/1000000*F$31/$B$83</f>
        <v>187.70773429422059</v>
      </c>
      <c r="G196" s="16">
        <f>$B13/1000000*G$31/$B$83</f>
        <v>105.80386063577207</v>
      </c>
      <c r="H196" s="16">
        <f>$B13/1000000*H$31/$B$83</f>
        <v>67.726427817354519</v>
      </c>
      <c r="I196" s="16">
        <f t="shared" si="43"/>
        <v>29.60296304768687</v>
      </c>
      <c r="J196" s="16">
        <f t="shared" si="42"/>
        <v>18.66222087109681</v>
      </c>
      <c r="K196" s="16">
        <f t="shared" si="41"/>
        <v>37.235960610754574</v>
      </c>
      <c r="L196" s="16">
        <f t="shared" si="40"/>
        <v>6.3428120051915347</v>
      </c>
      <c r="M196" s="16">
        <f t="shared" si="37"/>
        <v>0</v>
      </c>
      <c r="N196" s="6">
        <f>SUM(E196:M196)</f>
        <v>822.279563265462</v>
      </c>
      <c r="O196" s="6">
        <f t="shared" si="38"/>
        <v>1666.9374652616734</v>
      </c>
    </row>
    <row r="197" spans="1:15">
      <c r="A197" s="3">
        <f t="shared" si="39"/>
        <v>11</v>
      </c>
      <c r="C197" s="6">
        <f t="shared" si="36"/>
        <v>391.36318761793842</v>
      </c>
      <c r="D197" s="16">
        <f>$B14/1000000*D$31/$B$83</f>
        <v>509.56769731848601</v>
      </c>
      <c r="E197" s="16">
        <f>$B14/1000000*E$31/$B$83</f>
        <v>403.73489145363038</v>
      </c>
      <c r="F197" s="16">
        <f>$B14/1000000*F$31/$B$83</f>
        <v>205.26722009560748</v>
      </c>
      <c r="G197" s="16">
        <f>$B14/1000000*G$31/$B$83</f>
        <v>115.70148896500049</v>
      </c>
      <c r="H197" s="16">
        <f>$B14/1000000*H$31/$B$83</f>
        <v>74.062028489905543</v>
      </c>
      <c r="I197" s="16">
        <f t="shared" si="43"/>
        <v>32.372229914975698</v>
      </c>
      <c r="J197" s="16">
        <f t="shared" si="42"/>
        <v>20.408014690624366</v>
      </c>
      <c r="K197" s="16">
        <f t="shared" si="41"/>
        <v>40.719271109940962</v>
      </c>
      <c r="L197" s="16">
        <f t="shared" si="40"/>
        <v>6.9361627148189351</v>
      </c>
      <c r="M197" s="16">
        <f t="shared" si="37"/>
        <v>0</v>
      </c>
      <c r="N197" s="6">
        <f>SUM(D197:M197)</f>
        <v>1408.7690047529898</v>
      </c>
      <c r="O197" s="6">
        <f>SUM(C197:N197)</f>
        <v>3208.9011971239179</v>
      </c>
    </row>
    <row r="202" spans="1:15">
      <c r="A202" s="3" t="s">
        <v>24</v>
      </c>
      <c r="D202" s="1" t="s">
        <v>25</v>
      </c>
      <c r="F202" s="1" t="s">
        <v>26</v>
      </c>
      <c r="G202" s="1" t="s">
        <v>27</v>
      </c>
    </row>
    <row r="203" spans="1:15">
      <c r="A203" s="3">
        <v>1</v>
      </c>
      <c r="C203" s="4"/>
      <c r="D203" s="4">
        <f>O187</f>
        <v>769.94367935249613</v>
      </c>
      <c r="F203" s="4">
        <f>B4</f>
        <v>1749038</v>
      </c>
      <c r="G203" s="1">
        <f>F203/D203</f>
        <v>2271.6440785264949</v>
      </c>
    </row>
    <row r="204" spans="1:15">
      <c r="A204" s="3">
        <f>A203+1</f>
        <v>2</v>
      </c>
      <c r="B204" s="4">
        <f>N188</f>
        <v>0</v>
      </c>
      <c r="D204" s="4">
        <f t="shared" ref="D204:D213" si="44">O188</f>
        <v>839.2091709629567</v>
      </c>
      <c r="F204" s="4">
        <f t="shared" ref="F204:F213" si="45">B5</f>
        <v>2358629</v>
      </c>
      <c r="G204" s="1">
        <f t="shared" ref="G204:G213" si="46">F204/D204</f>
        <v>2810.5376842981518</v>
      </c>
    </row>
    <row r="205" spans="1:15">
      <c r="A205" s="3">
        <f t="shared" ref="A205:A213" si="47">A204+1</f>
        <v>3</v>
      </c>
      <c r="B205" s="4">
        <f t="shared" ref="B205:B213" si="48">N189</f>
        <v>4.8091723435310154</v>
      </c>
      <c r="D205" s="4">
        <f t="shared" si="44"/>
        <v>821.38288632954118</v>
      </c>
      <c r="F205" s="4">
        <f t="shared" si="45"/>
        <v>2617002</v>
      </c>
      <c r="G205" s="1">
        <f t="shared" si="46"/>
        <v>3186.0926780376712</v>
      </c>
    </row>
    <row r="206" spans="1:15">
      <c r="A206" s="3">
        <f t="shared" si="47"/>
        <v>4</v>
      </c>
      <c r="B206" s="4">
        <f t="shared" si="48"/>
        <v>39.896301995055424</v>
      </c>
      <c r="D206" s="4">
        <f t="shared" si="44"/>
        <v>2016.6968337459907</v>
      </c>
      <c r="F206" s="4">
        <f t="shared" si="45"/>
        <v>3159899</v>
      </c>
      <c r="G206" s="1">
        <f t="shared" si="46"/>
        <v>1566.8686275123091</v>
      </c>
    </row>
    <row r="207" spans="1:15">
      <c r="A207" s="3">
        <f t="shared" si="47"/>
        <v>5</v>
      </c>
      <c r="B207" s="4">
        <f t="shared" si="48"/>
        <v>62.770884627201447</v>
      </c>
      <c r="D207" s="4">
        <f t="shared" si="44"/>
        <v>789.76312920176338</v>
      </c>
      <c r="F207" s="4">
        <f t="shared" si="45"/>
        <v>3480946</v>
      </c>
      <c r="G207" s="1">
        <f t="shared" si="46"/>
        <v>4407.5823133428548</v>
      </c>
    </row>
    <row r="208" spans="1:15">
      <c r="A208" s="3">
        <f t="shared" si="47"/>
        <v>6</v>
      </c>
      <c r="B208" s="4">
        <f t="shared" si="48"/>
        <v>94.766120672861604</v>
      </c>
      <c r="D208" s="4">
        <f t="shared" si="44"/>
        <v>2288.3967513949106</v>
      </c>
      <c r="F208" s="4">
        <f t="shared" si="45"/>
        <v>3561378</v>
      </c>
      <c r="G208" s="1">
        <f t="shared" si="46"/>
        <v>1556.2764620379457</v>
      </c>
    </row>
    <row r="209" spans="1:7">
      <c r="A209" s="3">
        <f t="shared" si="47"/>
        <v>7</v>
      </c>
      <c r="B209" s="4">
        <f t="shared" si="48"/>
        <v>171.21024062287358</v>
      </c>
      <c r="D209" s="4">
        <f t="shared" si="44"/>
        <v>1436.2805839969774</v>
      </c>
      <c r="F209" s="4">
        <f t="shared" si="45"/>
        <v>3703335</v>
      </c>
      <c r="G209" s="1">
        <f t="shared" si="46"/>
        <v>2578.4202900620662</v>
      </c>
    </row>
    <row r="210" spans="1:7">
      <c r="A210" s="3">
        <f t="shared" si="47"/>
        <v>8</v>
      </c>
      <c r="B210" s="4">
        <f t="shared" si="48"/>
        <v>298.30267407933098</v>
      </c>
      <c r="D210" s="4">
        <f t="shared" si="44"/>
        <v>1034.2542787051677</v>
      </c>
      <c r="F210" s="4">
        <f t="shared" si="45"/>
        <v>3879841</v>
      </c>
      <c r="G210" s="1">
        <f t="shared" si="46"/>
        <v>3751.3415026499652</v>
      </c>
    </row>
    <row r="211" spans="1:7">
      <c r="A211" s="3">
        <f t="shared" si="47"/>
        <v>9</v>
      </c>
      <c r="B211" s="4">
        <f t="shared" si="48"/>
        <v>506.34373556156493</v>
      </c>
      <c r="D211" s="4">
        <f t="shared" si="44"/>
        <v>1361.2700504086749</v>
      </c>
      <c r="F211" s="4">
        <f t="shared" si="45"/>
        <v>3857307</v>
      </c>
      <c r="G211" s="1">
        <f t="shared" si="46"/>
        <v>2833.6089513186416</v>
      </c>
    </row>
    <row r="212" spans="1:7">
      <c r="A212" s="3">
        <f t="shared" si="47"/>
        <v>10</v>
      </c>
      <c r="B212" s="4">
        <f t="shared" si="48"/>
        <v>822.279563265462</v>
      </c>
      <c r="D212" s="4">
        <f t="shared" si="44"/>
        <v>1666.9374652616734</v>
      </c>
      <c r="F212" s="4">
        <f t="shared" si="45"/>
        <v>3451561</v>
      </c>
      <c r="G212" s="1">
        <f t="shared" si="46"/>
        <v>2070.6001706297834</v>
      </c>
    </row>
    <row r="213" spans="1:7">
      <c r="A213" s="3">
        <f t="shared" si="47"/>
        <v>11</v>
      </c>
      <c r="B213" s="4">
        <f t="shared" si="48"/>
        <v>1408.7690047529898</v>
      </c>
      <c r="D213" s="4">
        <f t="shared" si="44"/>
        <v>3208.9011971239179</v>
      </c>
      <c r="F213" s="4">
        <f t="shared" si="45"/>
        <v>3774444</v>
      </c>
      <c r="G213" s="1">
        <f t="shared" si="46"/>
        <v>1176.2418872176459</v>
      </c>
    </row>
    <row r="214" spans="1:7">
      <c r="F214" s="17" t="s">
        <v>16</v>
      </c>
      <c r="G214" s="1">
        <f>SUM(F210:F213)/SUM(D210:D213)</f>
        <v>2057.8195611321607</v>
      </c>
    </row>
    <row r="217" spans="1:7">
      <c r="A217" s="3" t="s">
        <v>65</v>
      </c>
      <c r="D217" s="18">
        <f>B14*1.1</f>
        <v>4151888.4000000004</v>
      </c>
    </row>
    <row r="218" spans="1:7">
      <c r="C218" s="1" t="s">
        <v>28</v>
      </c>
      <c r="D218" s="6">
        <f>D217/G214</f>
        <v>2017.6153820385182</v>
      </c>
    </row>
    <row r="222" spans="1:7">
      <c r="A222" s="3" t="s">
        <v>29</v>
      </c>
      <c r="D222" s="19">
        <f>D217*0.5</f>
        <v>2075944.2000000002</v>
      </c>
    </row>
    <row r="223" spans="1:7">
      <c r="C223" s="1" t="s">
        <v>30</v>
      </c>
      <c r="D223" s="6">
        <f>D222/G214</f>
        <v>1008.8076910192591</v>
      </c>
    </row>
    <row r="228" spans="1:25" customFormat="1" ht="15">
      <c r="A228" s="20" t="s">
        <v>31</v>
      </c>
      <c r="B228" s="21">
        <f>B84^2</f>
        <v>2581996.6376383477</v>
      </c>
      <c r="C228" s="22"/>
      <c r="D228" s="22"/>
      <c r="E228" s="22"/>
      <c r="F228" s="22"/>
      <c r="G228" s="22"/>
      <c r="H228" s="5"/>
      <c r="I228" s="23" t="s">
        <v>32</v>
      </c>
      <c r="J228" s="24" t="s">
        <v>33</v>
      </c>
    </row>
    <row r="229" spans="1:25" customFormat="1" ht="15">
      <c r="A229" s="20" t="s">
        <v>34</v>
      </c>
      <c r="B229" s="25">
        <f>B85^2</f>
        <v>11952527.313159196</v>
      </c>
    </row>
    <row r="230" spans="1:25" customFormat="1" ht="15">
      <c r="G230" s="26"/>
    </row>
    <row r="231" spans="1:25" customFormat="1" ht="26.25">
      <c r="A231" s="65" t="s">
        <v>35</v>
      </c>
      <c r="B231" s="23"/>
      <c r="C231" t="s">
        <v>36</v>
      </c>
      <c r="D231" t="s">
        <v>37</v>
      </c>
      <c r="E231" s="23" t="s">
        <v>38</v>
      </c>
      <c r="F231" s="23" t="s">
        <v>39</v>
      </c>
      <c r="G231" s="23" t="s">
        <v>40</v>
      </c>
      <c r="H231" s="23" t="s">
        <v>41</v>
      </c>
      <c r="I231" s="23" t="s">
        <v>42</v>
      </c>
      <c r="J231" t="s">
        <v>43</v>
      </c>
      <c r="K231" t="s">
        <v>44</v>
      </c>
      <c r="L231" t="s">
        <v>45</v>
      </c>
      <c r="M231" s="23" t="s">
        <v>46</v>
      </c>
      <c r="N231" s="23" t="s">
        <v>47</v>
      </c>
      <c r="O231" s="27" t="s">
        <v>48</v>
      </c>
      <c r="P231" s="23" t="s">
        <v>49</v>
      </c>
      <c r="Q231" s="23" t="s">
        <v>50</v>
      </c>
      <c r="R231" s="23" t="s">
        <v>51</v>
      </c>
      <c r="S231" s="23" t="s">
        <v>52</v>
      </c>
      <c r="T231" s="23" t="s">
        <v>53</v>
      </c>
      <c r="U231" s="23" t="s">
        <v>54</v>
      </c>
      <c r="V231" s="23" t="s">
        <v>55</v>
      </c>
    </row>
    <row r="232" spans="1:25" customFormat="1" ht="15">
      <c r="A232">
        <v>1</v>
      </c>
      <c r="B232" s="28"/>
      <c r="E232" s="22">
        <f>O187-N187</f>
        <v>769.94367935249613</v>
      </c>
      <c r="F232" s="22">
        <f t="shared" ref="F232:F242" si="49">E232^2</f>
        <v>592813.2693748594</v>
      </c>
      <c r="G232" s="29">
        <f>($B$228+$B$229/E232)</f>
        <v>2597520.5358580342</v>
      </c>
      <c r="H232" s="5">
        <f t="shared" ref="H232:H242" si="50">D232*G232</f>
        <v>0</v>
      </c>
      <c r="J232" s="5">
        <f>N68+N4</f>
        <v>1954197.3400000003</v>
      </c>
      <c r="K232" s="28">
        <f t="shared" ref="K232:K242" si="51">J232^2</f>
        <v>3818887243663.0767</v>
      </c>
      <c r="L232" s="28">
        <f>K232+I232</f>
        <v>3818887243663.0767</v>
      </c>
      <c r="S232" s="23">
        <f t="shared" ref="S232:S242" si="52">(C232+E232)^2*G232</f>
        <v>1539844641130.3379</v>
      </c>
      <c r="Y232" s="30"/>
    </row>
    <row r="233" spans="1:25" customFormat="1" ht="15">
      <c r="A233">
        <f t="shared" ref="A233:A242" si="53">A232+1</f>
        <v>2</v>
      </c>
      <c r="B233" s="28"/>
      <c r="C233" s="22">
        <f>'[1]all claims'!B204</f>
        <v>0</v>
      </c>
      <c r="D233" s="5">
        <f t="shared" ref="D233:D242" si="54">C233^2</f>
        <v>0</v>
      </c>
      <c r="E233" s="22">
        <f t="shared" ref="E233:E242" si="55">O188-N188</f>
        <v>839.2091709629567</v>
      </c>
      <c r="F233" s="22">
        <f t="shared" si="49"/>
        <v>704272.03262833308</v>
      </c>
      <c r="G233" s="29">
        <f t="shared" ref="G233:G242" si="56">($B$228+$B$229/E233)</f>
        <v>2596239.2457111888</v>
      </c>
      <c r="H233" s="5">
        <f t="shared" si="50"/>
        <v>0</v>
      </c>
      <c r="I233" s="28">
        <f t="shared" ref="I233:I242" si="57">(D233*$B$228+C233*$B$229)</f>
        <v>0</v>
      </c>
      <c r="J233" s="5">
        <f t="shared" ref="J233:J242" si="58">N69+N5</f>
        <v>2130000.38</v>
      </c>
      <c r="K233" s="28">
        <f t="shared" si="51"/>
        <v>4536901618800.1436</v>
      </c>
      <c r="L233" s="28">
        <f t="shared" ref="L233:L242" si="59">K233+I233</f>
        <v>4536901618800.1436</v>
      </c>
      <c r="Q233">
        <f t="shared" ref="Q233:Q242" si="60">C233*(E233+C233)</f>
        <v>0</v>
      </c>
      <c r="R233">
        <f t="shared" ref="R233:R242" si="61">Q233*G233</f>
        <v>0</v>
      </c>
      <c r="S233" s="23">
        <f t="shared" si="52"/>
        <v>1828458690766.4692</v>
      </c>
      <c r="X233" s="31">
        <f>D233*$B$228+C233*$B$229</f>
        <v>0</v>
      </c>
      <c r="Y233" s="30"/>
    </row>
    <row r="234" spans="1:25" customFormat="1" ht="15">
      <c r="A234">
        <f t="shared" si="53"/>
        <v>3</v>
      </c>
      <c r="B234" s="28"/>
      <c r="C234" s="22">
        <f>'[1]all claims'!B205</f>
        <v>4.8091723435310154</v>
      </c>
      <c r="D234" s="5">
        <f t="shared" si="54"/>
        <v>23.128138629783599</v>
      </c>
      <c r="E234" s="22">
        <f t="shared" si="55"/>
        <v>816.57371398601015</v>
      </c>
      <c r="F234" s="22">
        <f t="shared" si="49"/>
        <v>666792.63037290634</v>
      </c>
      <c r="G234" s="29">
        <f t="shared" si="56"/>
        <v>2596634.0513934568</v>
      </c>
      <c r="H234" s="5">
        <f t="shared" si="50"/>
        <v>60055312.311444499</v>
      </c>
      <c r="I234" s="28">
        <f t="shared" si="57"/>
        <v>117198539.96667913</v>
      </c>
      <c r="J234" s="5">
        <f t="shared" si="58"/>
        <v>2084755.4108588814</v>
      </c>
      <c r="K234" s="28">
        <f t="shared" si="51"/>
        <v>4346205123105.3833</v>
      </c>
      <c r="L234" s="28">
        <f t="shared" si="59"/>
        <v>4346322321645.3501</v>
      </c>
      <c r="Q234">
        <f t="shared" si="60"/>
        <v>3950.1718603857094</v>
      </c>
      <c r="R234">
        <f t="shared" si="61"/>
        <v>10257150761.533773</v>
      </c>
      <c r="S234" s="23">
        <f t="shared" si="52"/>
        <v>1751870695455.2556</v>
      </c>
      <c r="X234" s="31">
        <f t="shared" ref="X234:X242" si="62">D234*$B$228+C234*$B$229</f>
        <v>117198539.96667913</v>
      </c>
      <c r="Y234" s="32">
        <f t="shared" ref="Y234:Y241" si="63">SQRT($B$228*D234)/SQRT($B$228*D234+$B$229*C234)</f>
        <v>0.71381731175902607</v>
      </c>
    </row>
    <row r="235" spans="1:25" customFormat="1" ht="15">
      <c r="A235">
        <f t="shared" si="53"/>
        <v>4</v>
      </c>
      <c r="B235" s="28"/>
      <c r="C235" s="22">
        <f>'[1]all claims'!B206</f>
        <v>39.896301995055424</v>
      </c>
      <c r="D235" s="5">
        <f t="shared" si="54"/>
        <v>1591.7149128806634</v>
      </c>
      <c r="E235" s="22">
        <f t="shared" si="55"/>
        <v>1976.8005317509353</v>
      </c>
      <c r="F235" s="22">
        <f t="shared" si="49"/>
        <v>3907740.3423307808</v>
      </c>
      <c r="G235" s="29">
        <f t="shared" si="56"/>
        <v>2588043.0379307293</v>
      </c>
      <c r="H235" s="5">
        <f t="shared" si="50"/>
        <v>4119426698.6513181</v>
      </c>
      <c r="I235" s="28">
        <f t="shared" si="57"/>
        <v>4586664192.4266357</v>
      </c>
      <c r="J235" s="5">
        <f t="shared" si="58"/>
        <v>5118586.8444392476</v>
      </c>
      <c r="K235" s="28">
        <f t="shared" si="51"/>
        <v>26199931284066.535</v>
      </c>
      <c r="L235" s="28">
        <f t="shared" si="59"/>
        <v>26204517948258.961</v>
      </c>
      <c r="Q235">
        <f t="shared" si="60"/>
        <v>80458.74591160212</v>
      </c>
      <c r="R235">
        <f t="shared" si="61"/>
        <v>208230697197.15939</v>
      </c>
      <c r="S235" s="23">
        <f t="shared" si="52"/>
        <v>10525742154705.889</v>
      </c>
      <c r="X235" s="31">
        <f t="shared" si="62"/>
        <v>4586664192.4266357</v>
      </c>
      <c r="Y235" s="32">
        <f t="shared" si="63"/>
        <v>0.9465902052868933</v>
      </c>
    </row>
    <row r="236" spans="1:25" customFormat="1" ht="15">
      <c r="A236">
        <f t="shared" si="53"/>
        <v>5</v>
      </c>
      <c r="B236" s="28"/>
      <c r="C236" s="22">
        <f>'[1]all claims'!B207</f>
        <v>62.770884627201447</v>
      </c>
      <c r="D236" s="5">
        <f t="shared" si="54"/>
        <v>3940.1839568814348</v>
      </c>
      <c r="E236" s="22">
        <f t="shared" si="55"/>
        <v>726.99224457456194</v>
      </c>
      <c r="F236" s="22">
        <f t="shared" si="49"/>
        <v>528517.72367155971</v>
      </c>
      <c r="G236" s="29">
        <f t="shared" si="56"/>
        <v>2598437.7034163657</v>
      </c>
      <c r="H236" s="5">
        <f t="shared" si="50"/>
        <v>10238322551.957005</v>
      </c>
      <c r="I236" s="28">
        <f t="shared" si="57"/>
        <v>10923812441.322216</v>
      </c>
      <c r="J236" s="5">
        <f t="shared" si="58"/>
        <v>2004501.170285708</v>
      </c>
      <c r="K236" s="28">
        <f t="shared" si="51"/>
        <v>4018024941676.7729</v>
      </c>
      <c r="L236" s="28">
        <f t="shared" si="59"/>
        <v>4028948754118.0952</v>
      </c>
      <c r="Q236">
        <f t="shared" si="60"/>
        <v>49574.13026594148</v>
      </c>
      <c r="R236">
        <f t="shared" si="61"/>
        <v>128815289197.09673</v>
      </c>
      <c r="S236" s="23">
        <f t="shared" si="52"/>
        <v>1620712635954.2092</v>
      </c>
      <c r="X236" s="31">
        <f t="shared" si="62"/>
        <v>10923812441.322216</v>
      </c>
      <c r="Y236" s="32">
        <f t="shared" si="63"/>
        <v>0.96504811764941079</v>
      </c>
    </row>
    <row r="237" spans="1:25" customFormat="1" ht="15">
      <c r="A237">
        <f t="shared" si="53"/>
        <v>6</v>
      </c>
      <c r="B237" s="28"/>
      <c r="C237" s="22">
        <f>'[1]all claims'!B208</f>
        <v>94.766120672861604</v>
      </c>
      <c r="D237" s="5">
        <f t="shared" si="54"/>
        <v>8980.617627383368</v>
      </c>
      <c r="E237" s="22">
        <f t="shared" si="55"/>
        <v>2193.6306307220489</v>
      </c>
      <c r="F237" s="22">
        <f t="shared" si="49"/>
        <v>4812015.3440420143</v>
      </c>
      <c r="G237" s="29">
        <f t="shared" si="56"/>
        <v>2587445.3796215067</v>
      </c>
      <c r="H237" s="5">
        <f t="shared" si="50"/>
        <v>23236857586.120552</v>
      </c>
      <c r="I237" s="28">
        <f t="shared" si="57"/>
        <v>24320619163.524048</v>
      </c>
      <c r="J237" s="5">
        <f t="shared" si="58"/>
        <v>5808189.5655035442</v>
      </c>
      <c r="K237" s="28">
        <f t="shared" si="51"/>
        <v>33735066028824.25</v>
      </c>
      <c r="L237" s="28">
        <f t="shared" si="59"/>
        <v>33759386647987.773</v>
      </c>
      <c r="Q237">
        <f t="shared" si="60"/>
        <v>216862.48269007457</v>
      </c>
      <c r="R237">
        <f t="shared" si="61"/>
        <v>561119828849.68237</v>
      </c>
      <c r="S237" s="23">
        <f t="shared" si="52"/>
        <v>13549829668722.549</v>
      </c>
      <c r="X237" s="31">
        <f t="shared" si="62"/>
        <v>24320619163.524048</v>
      </c>
      <c r="Y237" s="32">
        <f t="shared" si="63"/>
        <v>0.97643564577909558</v>
      </c>
    </row>
    <row r="238" spans="1:25" customFormat="1" ht="15">
      <c r="A238">
        <f t="shared" si="53"/>
        <v>7</v>
      </c>
      <c r="B238" s="28"/>
      <c r="C238" s="22">
        <f>'[1]all claims'!B209</f>
        <v>171.21024062287358</v>
      </c>
      <c r="D238" s="5">
        <f t="shared" si="54"/>
        <v>29312.946494142274</v>
      </c>
      <c r="E238" s="22">
        <f t="shared" si="55"/>
        <v>1265.0703433741037</v>
      </c>
      <c r="F238" s="22">
        <f t="shared" si="49"/>
        <v>1600402.9736846725</v>
      </c>
      <c r="G238" s="29">
        <f t="shared" si="56"/>
        <v>2591444.7504454823</v>
      </c>
      <c r="H238" s="5">
        <f t="shared" si="50"/>
        <v>75962881312.334305</v>
      </c>
      <c r="I238" s="28">
        <f t="shared" si="57"/>
        <v>77732324364.485596</v>
      </c>
      <c r="J238" s="5">
        <f t="shared" si="58"/>
        <v>3645429.8827428138</v>
      </c>
      <c r="K238" s="28">
        <f t="shared" si="51"/>
        <v>13289159029994.285</v>
      </c>
      <c r="L238" s="28">
        <f t="shared" si="59"/>
        <v>13366891354358.771</v>
      </c>
      <c r="Q238">
        <f t="shared" si="60"/>
        <v>245905.94438808388</v>
      </c>
      <c r="R238">
        <f t="shared" si="61"/>
        <v>637251668687.83875</v>
      </c>
      <c r="S238" s="23">
        <f t="shared" si="52"/>
        <v>5345896340815.8281</v>
      </c>
      <c r="X238" s="31">
        <f t="shared" si="62"/>
        <v>77732324364.485596</v>
      </c>
      <c r="Y238" s="32">
        <f t="shared" si="63"/>
        <v>0.9867491176091856</v>
      </c>
    </row>
    <row r="239" spans="1:25" customFormat="1" ht="15">
      <c r="A239">
        <f t="shared" si="53"/>
        <v>8</v>
      </c>
      <c r="B239" s="28"/>
      <c r="C239" s="22">
        <f>'[1]all claims'!B210</f>
        <v>298.30267407933098</v>
      </c>
      <c r="D239" s="5">
        <f t="shared" si="54"/>
        <v>88984.485362879568</v>
      </c>
      <c r="E239" s="22">
        <f t="shared" si="55"/>
        <v>735.95160462583681</v>
      </c>
      <c r="F239" s="22">
        <f t="shared" si="49"/>
        <v>541624.76435134397</v>
      </c>
      <c r="G239" s="29">
        <f t="shared" si="56"/>
        <v>2598237.5524458312</v>
      </c>
      <c r="H239" s="5">
        <f t="shared" si="50"/>
        <v>231202831454.90012</v>
      </c>
      <c r="I239" s="28">
        <f t="shared" si="57"/>
        <v>233323112868.45544</v>
      </c>
      <c r="J239" s="5">
        <f t="shared" si="58"/>
        <v>2625045.2007463514</v>
      </c>
      <c r="K239" s="28">
        <f t="shared" si="51"/>
        <v>6890862305961.4521</v>
      </c>
      <c r="L239" s="28">
        <f t="shared" si="59"/>
        <v>7124185418829.9072</v>
      </c>
      <c r="Q239">
        <f t="shared" si="60"/>
        <v>308520.8170157412</v>
      </c>
      <c r="R239">
        <f t="shared" si="61"/>
        <v>801610372481.56763</v>
      </c>
      <c r="S239" s="23">
        <f t="shared" si="52"/>
        <v>2779287715580.521</v>
      </c>
      <c r="X239" s="31">
        <f t="shared" si="62"/>
        <v>233323112868.45544</v>
      </c>
      <c r="Y239" s="32">
        <f t="shared" si="63"/>
        <v>0.99232995583750838</v>
      </c>
    </row>
    <row r="240" spans="1:25" customFormat="1" ht="15">
      <c r="A240">
        <f t="shared" si="53"/>
        <v>9</v>
      </c>
      <c r="B240" s="28"/>
      <c r="C240" s="22">
        <f>'[1]all claims'!B211</f>
        <v>506.34373556156493</v>
      </c>
      <c r="D240" s="5">
        <f t="shared" si="54"/>
        <v>256383.97854243999</v>
      </c>
      <c r="E240" s="22">
        <f t="shared" si="55"/>
        <v>854.92631484711001</v>
      </c>
      <c r="F240" s="22">
        <f t="shared" si="49"/>
        <v>730899.00381805992</v>
      </c>
      <c r="G240" s="29">
        <f t="shared" si="56"/>
        <v>2595977.4066304644</v>
      </c>
      <c r="H240" s="5">
        <f t="shared" si="50"/>
        <v>665567015718.20398</v>
      </c>
      <c r="I240" s="28">
        <f t="shared" si="57"/>
        <v>668034657870.06897</v>
      </c>
      <c r="J240" s="5">
        <f t="shared" si="58"/>
        <v>3455045.3271691944</v>
      </c>
      <c r="K240" s="28">
        <f t="shared" si="51"/>
        <v>11937338212793.686</v>
      </c>
      <c r="L240" s="28">
        <f t="shared" si="59"/>
        <v>12605372870663.754</v>
      </c>
      <c r="Q240">
        <f t="shared" si="60"/>
        <v>689270.56243200821</v>
      </c>
      <c r="R240">
        <f t="shared" si="61"/>
        <v>1789330807128.9663</v>
      </c>
      <c r="S240" s="23">
        <f t="shared" si="52"/>
        <v>4810491898980.126</v>
      </c>
      <c r="X240" s="31">
        <f t="shared" si="62"/>
        <v>668034657870.06897</v>
      </c>
      <c r="Y240" s="32">
        <f t="shared" si="63"/>
        <v>0.9954599233845326</v>
      </c>
    </row>
    <row r="241" spans="1:25" customFormat="1" ht="15">
      <c r="A241">
        <f t="shared" si="53"/>
        <v>10</v>
      </c>
      <c r="B241" s="28"/>
      <c r="C241" s="22">
        <f>'[1]all claims'!B212</f>
        <v>822.279563265462</v>
      </c>
      <c r="D241" s="5">
        <f t="shared" si="54"/>
        <v>676143.6801640389</v>
      </c>
      <c r="E241" s="22">
        <f t="shared" si="55"/>
        <v>844.65790199621142</v>
      </c>
      <c r="F241" s="22">
        <f t="shared" si="49"/>
        <v>713446.97140464152</v>
      </c>
      <c r="G241" s="29">
        <f t="shared" si="56"/>
        <v>2596147.3692954024</v>
      </c>
      <c r="H241" s="5">
        <f t="shared" si="50"/>
        <v>1755368636523.5815</v>
      </c>
      <c r="I241" s="28">
        <f t="shared" si="57"/>
        <v>1755629027682.95</v>
      </c>
      <c r="J241" s="5">
        <f t="shared" si="58"/>
        <v>2087031.2704184919</v>
      </c>
      <c r="K241" s="28">
        <f t="shared" si="51"/>
        <v>4355699523704.6245</v>
      </c>
      <c r="L241" s="28">
        <f t="shared" si="59"/>
        <v>6111328551387.5742</v>
      </c>
      <c r="Q241">
        <f t="shared" si="60"/>
        <v>1370688.6109262051</v>
      </c>
      <c r="R241">
        <f t="shared" si="61"/>
        <v>3558509631379.2368</v>
      </c>
      <c r="S241" s="23">
        <f t="shared" si="52"/>
        <v>7213864104178.8242</v>
      </c>
      <c r="X241" s="31">
        <f t="shared" si="62"/>
        <v>1755629027682.95</v>
      </c>
      <c r="Y241" s="32">
        <f t="shared" si="63"/>
        <v>0.99719698393457423</v>
      </c>
    </row>
    <row r="242" spans="1:25" customFormat="1" ht="15">
      <c r="A242">
        <f t="shared" si="53"/>
        <v>11</v>
      </c>
      <c r="B242" s="28"/>
      <c r="C242" s="22">
        <f>'[1]all claims'!B213</f>
        <v>1408.7690047529898</v>
      </c>
      <c r="D242" s="5">
        <f t="shared" si="54"/>
        <v>1984630.1087527294</v>
      </c>
      <c r="E242" s="22">
        <f t="shared" si="55"/>
        <v>1800.1321923709281</v>
      </c>
      <c r="F242" s="22">
        <f t="shared" si="49"/>
        <v>3240475.9100101641</v>
      </c>
      <c r="G242" s="29">
        <f t="shared" si="56"/>
        <v>2588636.4429614316</v>
      </c>
      <c r="H242" s="5">
        <f t="shared" si="50"/>
        <v>5137485825315.8242</v>
      </c>
      <c r="I242" s="28">
        <f t="shared" si="57"/>
        <v>5141146617762.6182</v>
      </c>
      <c r="J242" s="5">
        <f t="shared" si="58"/>
        <v>3575602.6259972118</v>
      </c>
      <c r="K242" s="28">
        <f t="shared" si="51"/>
        <v>12784934139038.156</v>
      </c>
      <c r="L242" s="28">
        <f t="shared" si="59"/>
        <v>17926080756800.773</v>
      </c>
      <c r="Q242">
        <f t="shared" si="60"/>
        <v>4520600.5458229389</v>
      </c>
      <c r="R242">
        <f t="shared" si="61"/>
        <v>11702191316988.598</v>
      </c>
      <c r="S242" s="23">
        <f t="shared" si="52"/>
        <v>26655310841852.293</v>
      </c>
      <c r="X242" s="31">
        <f t="shared" si="62"/>
        <v>5141146617762.6182</v>
      </c>
      <c r="Y242" s="32">
        <f>SQRT($B$228*D242)/SQRT($B$228*D242+$B$229*C242)</f>
        <v>0.99836105044456158</v>
      </c>
    </row>
    <row r="243" spans="1:25" customFormat="1" ht="15">
      <c r="B243" s="28"/>
      <c r="C243" s="33">
        <f>SUM(C232:C242)</f>
        <v>3409.147697920871</v>
      </c>
      <c r="D243" s="33">
        <f>SUM(D232:D242)</f>
        <v>3049990.8439520053</v>
      </c>
      <c r="G243" s="34"/>
      <c r="H243" s="5">
        <f>SUM(H233:H242)</f>
        <v>7903241852473.8848</v>
      </c>
      <c r="I243" s="28"/>
      <c r="J243" s="28">
        <f>SUM(J232:J242)</f>
        <v>34488385.018161446</v>
      </c>
      <c r="K243" s="28">
        <f>SUM(K232:K242)</f>
        <v>125913009451628.36</v>
      </c>
      <c r="L243" s="28">
        <f>SUM(L232:L242)</f>
        <v>133828823486514.19</v>
      </c>
      <c r="M243" s="5">
        <f>(J243/COUNT(J232:J242))^2</f>
        <v>9830154555049.1152</v>
      </c>
      <c r="N243" s="5">
        <f>L243/COUNT(J232:J242)</f>
        <v>12166256680592.199</v>
      </c>
      <c r="O243" s="5">
        <f>N243-M243</f>
        <v>2336102125543.084</v>
      </c>
      <c r="P243" s="35">
        <f>(B228*B253^2+B229*B253)/(B228*B252^2+B229*B252)*O243</f>
        <v>585362441563.10156</v>
      </c>
      <c r="R243">
        <f>SUM(R232:R242)</f>
        <v>19397316762671.68</v>
      </c>
      <c r="S243">
        <f>SUM(S232:S242)</f>
        <v>77621309388142.312</v>
      </c>
      <c r="T243">
        <f>B228*B252*B253</f>
        <v>5255359588617.8721</v>
      </c>
      <c r="U243">
        <f>B228*B253^2+B229*B253</f>
        <v>2639737595789.5688</v>
      </c>
      <c r="V243">
        <f>B228*B252^2+B229*B252</f>
        <v>10534834780197.01</v>
      </c>
      <c r="W243" s="36">
        <f>T243/(SQRT(U243)*SQRT(V243))</f>
        <v>0.99657088235077496</v>
      </c>
      <c r="X243" s="31">
        <f>SUM(X233:X242)</f>
        <v>7915814034885.8174</v>
      </c>
      <c r="Y243" s="32">
        <f>SQRT($B$228*D243)/SQRT($B$228*D243+$B$229*C243)</f>
        <v>0.99742284840585571</v>
      </c>
    </row>
    <row r="244" spans="1:25" customFormat="1" ht="15">
      <c r="P244" s="5">
        <f>SQRT(P243)</f>
        <v>765089.82581334957</v>
      </c>
      <c r="W244" s="37">
        <f>R243/(SQRT(S243)*SQRT(H243))</f>
        <v>0.78315646889934054</v>
      </c>
    </row>
    <row r="245" spans="1:25" customFormat="1" ht="15.75" thickBot="1">
      <c r="G245" s="38"/>
      <c r="I245" s="38"/>
    </row>
    <row r="246" spans="1:25" customFormat="1" ht="15">
      <c r="A246" s="39" t="s">
        <v>56</v>
      </c>
      <c r="B246" s="40"/>
      <c r="C246" s="40"/>
      <c r="D246" s="41"/>
      <c r="P246" s="42"/>
    </row>
    <row r="247" spans="1:25" customFormat="1" ht="15">
      <c r="A247" s="43" t="s">
        <v>57</v>
      </c>
      <c r="B247" s="44">
        <f>N79</f>
        <v>8652772.3281614482</v>
      </c>
      <c r="C247" s="45"/>
      <c r="D247" s="46"/>
      <c r="P247" s="42"/>
    </row>
    <row r="248" spans="1:25" customFormat="1" ht="15">
      <c r="A248" s="43" t="s">
        <v>58</v>
      </c>
      <c r="B248" s="47">
        <f>SQRT(H243)/N79</f>
        <v>0.32489824051932498</v>
      </c>
      <c r="C248" s="45"/>
      <c r="D248" s="46"/>
      <c r="E248" s="26"/>
      <c r="F248" s="3"/>
      <c r="G248" s="1"/>
      <c r="V248" s="23" t="s">
        <v>59</v>
      </c>
      <c r="W248" s="48">
        <f>W243*W244</f>
        <v>0.78047093322973304</v>
      </c>
    </row>
    <row r="249" spans="1:25" customFormat="1" ht="15">
      <c r="A249" s="43" t="s">
        <v>60</v>
      </c>
      <c r="B249" s="47">
        <f>B248/2</f>
        <v>0.16244912025966249</v>
      </c>
      <c r="C249" s="45"/>
      <c r="D249" s="46"/>
      <c r="E249" s="26"/>
      <c r="F249" s="9"/>
      <c r="G249" s="13"/>
      <c r="V249" s="23"/>
      <c r="W249" s="48"/>
    </row>
    <row r="250" spans="1:25" customFormat="1" ht="15">
      <c r="A250" s="49"/>
      <c r="B250" s="45"/>
      <c r="C250" s="45"/>
      <c r="D250" s="46"/>
      <c r="F250" s="9"/>
      <c r="G250" s="15"/>
      <c r="M250" s="23"/>
      <c r="N250" s="23"/>
      <c r="O250" s="23"/>
    </row>
    <row r="251" spans="1:25" customFormat="1" ht="15">
      <c r="A251" s="50" t="s">
        <v>61</v>
      </c>
      <c r="B251" s="45"/>
      <c r="C251" s="45"/>
      <c r="D251" s="46"/>
      <c r="F251" s="9"/>
      <c r="G251" s="13"/>
      <c r="M251" s="5"/>
      <c r="N251" s="51"/>
      <c r="O251" s="28"/>
    </row>
    <row r="252" spans="1:25" customFormat="1" ht="15">
      <c r="A252" s="52" t="s">
        <v>28</v>
      </c>
      <c r="B252" s="53">
        <f>'[1]all claims'!D218</f>
        <v>2017.6153820385182</v>
      </c>
      <c r="C252" s="54"/>
      <c r="D252" s="46"/>
    </row>
    <row r="253" spans="1:25" customFormat="1" ht="15">
      <c r="A253" s="52" t="s">
        <v>30</v>
      </c>
      <c r="B253" s="53">
        <f>'[1]all claims'!D223</f>
        <v>1008.8076910192591</v>
      </c>
      <c r="C253" s="54"/>
      <c r="D253" s="46"/>
      <c r="M253" s="23"/>
    </row>
    <row r="254" spans="1:25" customFormat="1" ht="15">
      <c r="A254" s="49"/>
      <c r="B254" s="45"/>
      <c r="C254" s="45"/>
      <c r="D254" s="46"/>
    </row>
    <row r="255" spans="1:25" customFormat="1" ht="15">
      <c r="A255" s="50" t="s">
        <v>62</v>
      </c>
      <c r="B255" s="45"/>
      <c r="C255" s="45"/>
      <c r="D255" s="46"/>
    </row>
    <row r="256" spans="1:25" customFormat="1" ht="15">
      <c r="A256" s="43" t="s">
        <v>57</v>
      </c>
      <c r="B256" s="44">
        <f>D223*G214</f>
        <v>2075944.2000000002</v>
      </c>
      <c r="C256" s="55"/>
      <c r="D256" s="46"/>
    </row>
    <row r="257" spans="1:4" customFormat="1" ht="15">
      <c r="A257" s="43" t="s">
        <v>58</v>
      </c>
      <c r="B257" s="47">
        <f>SQRT(P243)/B256</f>
        <v>0.36855028464317563</v>
      </c>
      <c r="C257" s="56"/>
      <c r="D257" s="46"/>
    </row>
    <row r="258" spans="1:4" customFormat="1" ht="15">
      <c r="A258" s="43" t="s">
        <v>60</v>
      </c>
      <c r="B258" s="47">
        <f>B257/2</f>
        <v>0.18427514232158781</v>
      </c>
      <c r="C258" s="45"/>
      <c r="D258" s="46"/>
    </row>
    <row r="259" spans="1:4" customFormat="1" ht="15">
      <c r="A259" s="49"/>
      <c r="B259" s="45"/>
      <c r="C259" s="45"/>
      <c r="D259" s="46"/>
    </row>
    <row r="260" spans="1:4" customFormat="1" ht="15">
      <c r="A260" s="50" t="s">
        <v>63</v>
      </c>
      <c r="B260" s="45"/>
      <c r="C260" s="45"/>
      <c r="D260" s="46"/>
    </row>
    <row r="261" spans="1:4" customFormat="1" ht="15">
      <c r="A261" s="50" t="s">
        <v>59</v>
      </c>
      <c r="B261" s="57">
        <f>W248</f>
        <v>0.78047093322973304</v>
      </c>
      <c r="C261" s="45"/>
      <c r="D261" s="46"/>
    </row>
    <row r="262" spans="1:4">
      <c r="A262" s="58"/>
      <c r="B262" s="59"/>
      <c r="C262" s="59"/>
      <c r="D262" s="60"/>
    </row>
    <row r="263" spans="1:4">
      <c r="A263" s="58" t="s">
        <v>64</v>
      </c>
      <c r="B263" s="59"/>
      <c r="C263" s="59"/>
      <c r="D263" s="60"/>
    </row>
    <row r="264" spans="1:4" ht="15.75" thickBot="1">
      <c r="A264" s="61"/>
      <c r="B264" s="62">
        <f>SQRT(B228*D243)/SQRT(B228*D243+B229*C243)</f>
        <v>0.99742284840585571</v>
      </c>
      <c r="C264" s="63"/>
      <c r="D264" s="6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2011-08-18T06:36:25Z</dcterms:created>
  <dcterms:modified xsi:type="dcterms:W3CDTF">2011-08-19T04:21:47Z</dcterms:modified>
</cp:coreProperties>
</file>